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 firstSheet="1" activeTab="1"/>
  </bookViews>
  <sheets>
    <sheet name="голові" sheetId="1" state="hidden" r:id="rId1"/>
    <sheet name="Лист1" sheetId="2" r:id="rId2"/>
  </sheets>
  <definedNames>
    <definedName name="Excel_BuiltIn__FilterDatabase" localSheetId="1">Лист1!$A$3:$L$78</definedName>
    <definedName name="_xlnm.Print_Area" localSheetId="0">голові!$A$1:$O$72</definedName>
    <definedName name="_xlnm.Print_Area" localSheetId="1">Лист1!$A$1:$L$80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2" l="1"/>
  <c r="L24" i="2" s="1"/>
  <c r="J17" i="2"/>
  <c r="J16" i="2"/>
  <c r="J11" i="2"/>
  <c r="L11" i="2" s="1"/>
  <c r="J10" i="2"/>
  <c r="F24" i="2"/>
  <c r="G24" i="2" s="1"/>
  <c r="F17" i="2"/>
  <c r="G17" i="2" s="1"/>
  <c r="F16" i="2"/>
  <c r="F11" i="2"/>
  <c r="F10" i="2"/>
  <c r="H10" i="2" s="1"/>
  <c r="L77" i="2"/>
  <c r="H77" i="2"/>
  <c r="L76" i="2"/>
  <c r="K76" i="2"/>
  <c r="H76" i="2"/>
  <c r="G76" i="2"/>
  <c r="L75" i="2"/>
  <c r="K75" i="2"/>
  <c r="H75" i="2"/>
  <c r="L74" i="2"/>
  <c r="H74" i="2"/>
  <c r="L73" i="2"/>
  <c r="H73" i="2"/>
  <c r="L72" i="2"/>
  <c r="H72" i="2"/>
  <c r="I71" i="2"/>
  <c r="K71" i="2" s="1"/>
  <c r="E71" i="2"/>
  <c r="H71" i="2" s="1"/>
  <c r="L70" i="2"/>
  <c r="K70" i="2"/>
  <c r="H70" i="2"/>
  <c r="L69" i="2"/>
  <c r="K69" i="2"/>
  <c r="H69" i="2"/>
  <c r="L68" i="2"/>
  <c r="K68" i="2"/>
  <c r="H68" i="2"/>
  <c r="G68" i="2"/>
  <c r="J67" i="2"/>
  <c r="J78" i="2" s="1"/>
  <c r="I67" i="2"/>
  <c r="I78" i="2" s="1"/>
  <c r="F67" i="2"/>
  <c r="F78" i="2" s="1"/>
  <c r="E67" i="2"/>
  <c r="E78" i="2" s="1"/>
  <c r="D67" i="2"/>
  <c r="D78" i="2" s="1"/>
  <c r="L65" i="2"/>
  <c r="H65" i="2"/>
  <c r="L64" i="2"/>
  <c r="K64" i="2"/>
  <c r="H64" i="2"/>
  <c r="L63" i="2"/>
  <c r="K63" i="2"/>
  <c r="H63" i="2"/>
  <c r="G63" i="2"/>
  <c r="L62" i="2"/>
  <c r="H62" i="2"/>
  <c r="L61" i="2"/>
  <c r="K61" i="2"/>
  <c r="J61" i="2"/>
  <c r="I61" i="2"/>
  <c r="F61" i="2"/>
  <c r="H61" i="2" s="1"/>
  <c r="E61" i="2"/>
  <c r="D61" i="2"/>
  <c r="L58" i="2"/>
  <c r="K58" i="2"/>
  <c r="H58" i="2"/>
  <c r="G58" i="2"/>
  <c r="L57" i="2"/>
  <c r="K57" i="2"/>
  <c r="H57" i="2"/>
  <c r="G57" i="2"/>
  <c r="L56" i="2"/>
  <c r="H56" i="2"/>
  <c r="L55" i="2"/>
  <c r="H55" i="2"/>
  <c r="L54" i="2"/>
  <c r="K54" i="2"/>
  <c r="H54" i="2"/>
  <c r="G54" i="2"/>
  <c r="L53" i="2"/>
  <c r="K53" i="2"/>
  <c r="H53" i="2"/>
  <c r="G53" i="2"/>
  <c r="K52" i="2"/>
  <c r="G52" i="2"/>
  <c r="L51" i="2"/>
  <c r="K51" i="2"/>
  <c r="H51" i="2"/>
  <c r="G51" i="2"/>
  <c r="K50" i="2"/>
  <c r="G50" i="2"/>
  <c r="L49" i="2"/>
  <c r="K49" i="2"/>
  <c r="H49" i="2"/>
  <c r="L48" i="2"/>
  <c r="K48" i="2"/>
  <c r="H48" i="2"/>
  <c r="L47" i="2"/>
  <c r="K47" i="2"/>
  <c r="H47" i="2"/>
  <c r="L46" i="2"/>
  <c r="L45" i="2"/>
  <c r="K45" i="2"/>
  <c r="H45" i="2"/>
  <c r="L44" i="2"/>
  <c r="K44" i="2"/>
  <c r="H44" i="2"/>
  <c r="G44" i="2"/>
  <c r="L43" i="2"/>
  <c r="K43" i="2"/>
  <c r="H43" i="2"/>
  <c r="L42" i="2"/>
  <c r="K42" i="2"/>
  <c r="H42" i="2"/>
  <c r="G42" i="2"/>
  <c r="L41" i="2"/>
  <c r="K41" i="2"/>
  <c r="H41" i="2"/>
  <c r="G41" i="2"/>
  <c r="L40" i="2"/>
  <c r="H40" i="2"/>
  <c r="J39" i="2"/>
  <c r="L39" i="2" s="1"/>
  <c r="I39" i="2"/>
  <c r="K39" i="2" s="1"/>
  <c r="F39" i="2"/>
  <c r="H39" i="2" s="1"/>
  <c r="E39" i="2"/>
  <c r="D39" i="2"/>
  <c r="L36" i="2"/>
  <c r="H36" i="2"/>
  <c r="L35" i="2"/>
  <c r="H35" i="2"/>
  <c r="A35" i="2"/>
  <c r="L34" i="2"/>
  <c r="H34" i="2"/>
  <c r="L33" i="2"/>
  <c r="H33" i="2"/>
  <c r="K32" i="2"/>
  <c r="I32" i="2"/>
  <c r="L32" i="2" s="1"/>
  <c r="H32" i="2"/>
  <c r="E32" i="2"/>
  <c r="G32" i="2" s="1"/>
  <c r="D32" i="2"/>
  <c r="L31" i="2"/>
  <c r="K31" i="2"/>
  <c r="H31" i="2"/>
  <c r="G31" i="2"/>
  <c r="L30" i="2"/>
  <c r="H30" i="2"/>
  <c r="L29" i="2"/>
  <c r="K29" i="2"/>
  <c r="H29" i="2"/>
  <c r="G29" i="2"/>
  <c r="L28" i="2"/>
  <c r="K28" i="2"/>
  <c r="H28" i="2"/>
  <c r="G28" i="2"/>
  <c r="L27" i="2"/>
  <c r="K27" i="2"/>
  <c r="H27" i="2"/>
  <c r="G27" i="2"/>
  <c r="L26" i="2"/>
  <c r="K26" i="2"/>
  <c r="H26" i="2"/>
  <c r="G26" i="2"/>
  <c r="L25" i="2"/>
  <c r="K25" i="2"/>
  <c r="H25" i="2"/>
  <c r="G25" i="2"/>
  <c r="I24" i="2"/>
  <c r="H24" i="2"/>
  <c r="E24" i="2"/>
  <c r="L23" i="2"/>
  <c r="K23" i="2"/>
  <c r="H23" i="2"/>
  <c r="L22" i="2"/>
  <c r="K22" i="2"/>
  <c r="I22" i="2"/>
  <c r="E22" i="2"/>
  <c r="H22" i="2" s="1"/>
  <c r="D22" i="2"/>
  <c r="L21" i="2"/>
  <c r="K21" i="2"/>
  <c r="H21" i="2"/>
  <c r="G21" i="2"/>
  <c r="L20" i="2"/>
  <c r="K20" i="2"/>
  <c r="H20" i="2"/>
  <c r="G20" i="2"/>
  <c r="K19" i="2"/>
  <c r="I19" i="2"/>
  <c r="L19" i="2" s="1"/>
  <c r="H19" i="2"/>
  <c r="E19" i="2"/>
  <c r="G19" i="2" s="1"/>
  <c r="D19" i="2"/>
  <c r="L18" i="2"/>
  <c r="K18" i="2"/>
  <c r="H18" i="2"/>
  <c r="G18" i="2"/>
  <c r="D18" i="2"/>
  <c r="L17" i="2"/>
  <c r="K17" i="2"/>
  <c r="I17" i="2"/>
  <c r="E17" i="2"/>
  <c r="D17" i="2"/>
  <c r="I16" i="2"/>
  <c r="L16" i="2" s="1"/>
  <c r="E16" i="2"/>
  <c r="D16" i="2"/>
  <c r="D15" i="2" s="1"/>
  <c r="D14" i="2" s="1"/>
  <c r="J15" i="2"/>
  <c r="J14" i="2" s="1"/>
  <c r="E15" i="2"/>
  <c r="E14" i="2"/>
  <c r="L13" i="2"/>
  <c r="K13" i="2"/>
  <c r="I13" i="2"/>
  <c r="E13" i="2"/>
  <c r="H13" i="2" s="1"/>
  <c r="D13" i="2"/>
  <c r="L12" i="2"/>
  <c r="K12" i="2"/>
  <c r="I12" i="2"/>
  <c r="E12" i="2"/>
  <c r="H12" i="2" s="1"/>
  <c r="D12" i="2"/>
  <c r="I11" i="2"/>
  <c r="G11" i="2"/>
  <c r="E11" i="2"/>
  <c r="H11" i="2" s="1"/>
  <c r="D11" i="2"/>
  <c r="K10" i="2"/>
  <c r="L9" i="2"/>
  <c r="K9" i="2"/>
  <c r="I9" i="2"/>
  <c r="H9" i="2"/>
  <c r="G9" i="2"/>
  <c r="D9" i="2"/>
  <c r="I8" i="2"/>
  <c r="L8" i="2" s="1"/>
  <c r="E8" i="2"/>
  <c r="G8" i="2" s="1"/>
  <c r="D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4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80" i="2" s="1"/>
  <c r="P68" i="1"/>
  <c r="O68" i="1"/>
  <c r="N68" i="1"/>
  <c r="M68" i="1"/>
  <c r="L68" i="1"/>
  <c r="K68" i="1"/>
  <c r="H68" i="1"/>
  <c r="G68" i="1"/>
  <c r="P67" i="1"/>
  <c r="N67" i="1"/>
  <c r="L67" i="1"/>
  <c r="H67" i="1"/>
  <c r="P66" i="1"/>
  <c r="O66" i="1"/>
  <c r="N66" i="1"/>
  <c r="M66" i="1"/>
  <c r="L66" i="1"/>
  <c r="K66" i="1"/>
  <c r="I66" i="1"/>
  <c r="E66" i="1"/>
  <c r="G66" i="1" s="1"/>
  <c r="P65" i="1"/>
  <c r="O65" i="1"/>
  <c r="N65" i="1"/>
  <c r="M65" i="1"/>
  <c r="L65" i="1"/>
  <c r="K65" i="1"/>
  <c r="H65" i="1"/>
  <c r="P64" i="1"/>
  <c r="O64" i="1"/>
  <c r="N64" i="1"/>
  <c r="M64" i="1"/>
  <c r="L64" i="1"/>
  <c r="K64" i="1"/>
  <c r="H64" i="1"/>
  <c r="G64" i="1"/>
  <c r="P63" i="1"/>
  <c r="O63" i="1"/>
  <c r="N63" i="1"/>
  <c r="N61" i="1" s="1"/>
  <c r="M63" i="1"/>
  <c r="L63" i="1"/>
  <c r="K63" i="1"/>
  <c r="H63" i="1"/>
  <c r="P62" i="1"/>
  <c r="P61" i="1" s="1"/>
  <c r="L62" i="1"/>
  <c r="K62" i="1"/>
  <c r="H62" i="1"/>
  <c r="G62" i="1"/>
  <c r="Q61" i="1"/>
  <c r="O61" i="1"/>
  <c r="M61" i="1"/>
  <c r="L61" i="1"/>
  <c r="J61" i="1"/>
  <c r="K61" i="1" s="1"/>
  <c r="I61" i="1"/>
  <c r="G61" i="1"/>
  <c r="F61" i="1"/>
  <c r="E61" i="1"/>
  <c r="H61" i="1" s="1"/>
  <c r="D61" i="1"/>
  <c r="D71" i="1" s="1"/>
  <c r="P60" i="1"/>
  <c r="O60" i="1"/>
  <c r="N60" i="1"/>
  <c r="M60" i="1"/>
  <c r="L60" i="1"/>
  <c r="P59" i="1"/>
  <c r="O59" i="1"/>
  <c r="N59" i="1"/>
  <c r="M59" i="1"/>
  <c r="L59" i="1"/>
  <c r="K59" i="1"/>
  <c r="H59" i="1"/>
  <c r="G59" i="1"/>
  <c r="P58" i="1"/>
  <c r="O58" i="1"/>
  <c r="N58" i="1"/>
  <c r="M58" i="1"/>
  <c r="L58" i="1"/>
  <c r="K58" i="1"/>
  <c r="H58" i="1"/>
  <c r="P57" i="1"/>
  <c r="O57" i="1"/>
  <c r="N57" i="1"/>
  <c r="M57" i="1"/>
  <c r="L57" i="1"/>
  <c r="K57" i="1"/>
  <c r="H57" i="1"/>
  <c r="J56" i="1"/>
  <c r="J71" i="1" s="1"/>
  <c r="I56" i="1"/>
  <c r="I71" i="1" s="1"/>
  <c r="F56" i="1"/>
  <c r="G56" i="1" s="1"/>
  <c r="E56" i="1"/>
  <c r="D56" i="1"/>
  <c r="N56" i="1" s="1"/>
  <c r="M53" i="1"/>
  <c r="L53" i="1"/>
  <c r="K53" i="1"/>
  <c r="H53" i="1"/>
  <c r="G53" i="1"/>
  <c r="M52" i="1"/>
  <c r="L52" i="1"/>
  <c r="K52" i="1"/>
  <c r="H52" i="1"/>
  <c r="G52" i="1"/>
  <c r="P51" i="1"/>
  <c r="O51" i="1"/>
  <c r="N51" i="1"/>
  <c r="M51" i="1"/>
  <c r="L51" i="1"/>
  <c r="K51" i="1"/>
  <c r="M50" i="1"/>
  <c r="L50" i="1"/>
  <c r="K50" i="1"/>
  <c r="H50" i="1"/>
  <c r="G50" i="1"/>
  <c r="P49" i="1"/>
  <c r="O49" i="1"/>
  <c r="N49" i="1"/>
  <c r="M49" i="1"/>
  <c r="L49" i="1"/>
  <c r="K49" i="1"/>
  <c r="H49" i="1"/>
  <c r="G49" i="1"/>
  <c r="K48" i="1"/>
  <c r="H48" i="1"/>
  <c r="G48" i="1"/>
  <c r="K47" i="1"/>
  <c r="H47" i="1"/>
  <c r="G47" i="1"/>
  <c r="M46" i="1"/>
  <c r="L46" i="1"/>
  <c r="K46" i="1"/>
  <c r="H46" i="1"/>
  <c r="G46" i="1"/>
  <c r="P45" i="1"/>
  <c r="O45" i="1"/>
  <c r="N45" i="1"/>
  <c r="M45" i="1"/>
  <c r="L45" i="1"/>
  <c r="K45" i="1"/>
  <c r="H45" i="1"/>
  <c r="G45" i="1"/>
  <c r="K44" i="1"/>
  <c r="H44" i="1"/>
  <c r="G44" i="1"/>
  <c r="K43" i="1"/>
  <c r="H43" i="1"/>
  <c r="G43" i="1"/>
  <c r="K41" i="1"/>
  <c r="H41" i="1"/>
  <c r="G41" i="1"/>
  <c r="M40" i="1"/>
  <c r="L40" i="1"/>
  <c r="K40" i="1"/>
  <c r="H40" i="1"/>
  <c r="G40" i="1"/>
  <c r="M39" i="1"/>
  <c r="L39" i="1"/>
  <c r="K39" i="1"/>
  <c r="H39" i="1"/>
  <c r="H36" i="1" s="1"/>
  <c r="G39" i="1"/>
  <c r="P38" i="1"/>
  <c r="O38" i="1"/>
  <c r="N38" i="1"/>
  <c r="M38" i="1"/>
  <c r="L38" i="1"/>
  <c r="K38" i="1"/>
  <c r="H38" i="1"/>
  <c r="P37" i="1"/>
  <c r="O37" i="1"/>
  <c r="N37" i="1"/>
  <c r="M37" i="1"/>
  <c r="L37" i="1"/>
  <c r="K37" i="1"/>
  <c r="H37" i="1"/>
  <c r="G37" i="1"/>
  <c r="J36" i="1"/>
  <c r="O36" i="1" s="1"/>
  <c r="I36" i="1"/>
  <c r="F36" i="1"/>
  <c r="G36" i="1" s="1"/>
  <c r="E36" i="1"/>
  <c r="D36" i="1"/>
  <c r="L36" i="1" s="1"/>
  <c r="Q33" i="1"/>
  <c r="P33" i="1"/>
  <c r="O33" i="1"/>
  <c r="N33" i="1"/>
  <c r="M33" i="1"/>
  <c r="L33" i="1"/>
  <c r="H32" i="1"/>
  <c r="Q31" i="1"/>
  <c r="P31" i="1"/>
  <c r="O31" i="1"/>
  <c r="N31" i="1"/>
  <c r="M31" i="1"/>
  <c r="L31" i="1"/>
  <c r="K31" i="1"/>
  <c r="H31" i="1"/>
  <c r="G31" i="1"/>
  <c r="Q30" i="1"/>
  <c r="P30" i="1"/>
  <c r="O30" i="1"/>
  <c r="N30" i="1"/>
  <c r="M30" i="1"/>
  <c r="L30" i="1"/>
  <c r="K30" i="1"/>
  <c r="H30" i="1"/>
  <c r="G30" i="1"/>
  <c r="Q29" i="1"/>
  <c r="P29" i="1"/>
  <c r="O29" i="1"/>
  <c r="N29" i="1"/>
  <c r="M29" i="1"/>
  <c r="L29" i="1"/>
  <c r="K29" i="1"/>
  <c r="H29" i="1"/>
  <c r="G29" i="1"/>
  <c r="Q28" i="1"/>
  <c r="P28" i="1"/>
  <c r="O28" i="1"/>
  <c r="N28" i="1"/>
  <c r="M28" i="1"/>
  <c r="L28" i="1"/>
  <c r="K28" i="1"/>
  <c r="H28" i="1"/>
  <c r="G28" i="1"/>
  <c r="Q27" i="1"/>
  <c r="P27" i="1"/>
  <c r="O27" i="1"/>
  <c r="N27" i="1"/>
  <c r="M27" i="1"/>
  <c r="L27" i="1"/>
  <c r="K27" i="1"/>
  <c r="H27" i="1"/>
  <c r="G27" i="1"/>
  <c r="Q26" i="1"/>
  <c r="P26" i="1"/>
  <c r="O26" i="1"/>
  <c r="N26" i="1"/>
  <c r="M26" i="1"/>
  <c r="L26" i="1"/>
  <c r="K26" i="1"/>
  <c r="H26" i="1"/>
  <c r="G26" i="1"/>
  <c r="Q25" i="1"/>
  <c r="P25" i="1"/>
  <c r="O25" i="1"/>
  <c r="N25" i="1"/>
  <c r="M25" i="1"/>
  <c r="L25" i="1"/>
  <c r="K25" i="1"/>
  <c r="H25" i="1"/>
  <c r="G25" i="1"/>
  <c r="Q24" i="1"/>
  <c r="P24" i="1"/>
  <c r="O24" i="1"/>
  <c r="N24" i="1"/>
  <c r="M24" i="1"/>
  <c r="L24" i="1"/>
  <c r="K24" i="1"/>
  <c r="H24" i="1"/>
  <c r="G24" i="1"/>
  <c r="Q23" i="1"/>
  <c r="P23" i="1"/>
  <c r="O23" i="1"/>
  <c r="N23" i="1"/>
  <c r="M23" i="1"/>
  <c r="L23" i="1"/>
  <c r="K23" i="1"/>
  <c r="H23" i="1"/>
  <c r="G23" i="1"/>
  <c r="Q22" i="1"/>
  <c r="P22" i="1"/>
  <c r="O22" i="1"/>
  <c r="N22" i="1"/>
  <c r="M22" i="1"/>
  <c r="L22" i="1"/>
  <c r="K22" i="1"/>
  <c r="H22" i="1"/>
  <c r="Q21" i="1"/>
  <c r="P21" i="1"/>
  <c r="O21" i="1"/>
  <c r="N21" i="1"/>
  <c r="M21" i="1"/>
  <c r="L21" i="1"/>
  <c r="K21" i="1"/>
  <c r="H21" i="1"/>
  <c r="G21" i="1"/>
  <c r="Q20" i="1"/>
  <c r="P20" i="1"/>
  <c r="O20" i="1"/>
  <c r="N20" i="1"/>
  <c r="M20" i="1"/>
  <c r="L20" i="1"/>
  <c r="K20" i="1"/>
  <c r="H20" i="1"/>
  <c r="G20" i="1"/>
  <c r="Q19" i="1"/>
  <c r="P19" i="1"/>
  <c r="O19" i="1"/>
  <c r="N19" i="1"/>
  <c r="M19" i="1"/>
  <c r="L19" i="1"/>
  <c r="K19" i="1"/>
  <c r="H19" i="1"/>
  <c r="G19" i="1"/>
  <c r="Q18" i="1"/>
  <c r="P18" i="1"/>
  <c r="O18" i="1"/>
  <c r="N18" i="1"/>
  <c r="M18" i="1"/>
  <c r="L18" i="1"/>
  <c r="K18" i="1"/>
  <c r="H18" i="1"/>
  <c r="G18" i="1"/>
  <c r="Q17" i="1"/>
  <c r="P17" i="1"/>
  <c r="O17" i="1"/>
  <c r="N17" i="1"/>
  <c r="M17" i="1"/>
  <c r="L17" i="1"/>
  <c r="K17" i="1"/>
  <c r="H17" i="1"/>
  <c r="G17" i="1"/>
  <c r="Q16" i="1"/>
  <c r="P16" i="1"/>
  <c r="O16" i="1"/>
  <c r="N16" i="1"/>
  <c r="M16" i="1"/>
  <c r="L16" i="1"/>
  <c r="K16" i="1"/>
  <c r="H16" i="1"/>
  <c r="G16" i="1"/>
  <c r="Q15" i="1"/>
  <c r="P15" i="1"/>
  <c r="O15" i="1"/>
  <c r="N15" i="1"/>
  <c r="M15" i="1"/>
  <c r="L15" i="1"/>
  <c r="K15" i="1"/>
  <c r="H15" i="1"/>
  <c r="G15" i="1"/>
  <c r="Q14" i="1"/>
  <c r="P14" i="1"/>
  <c r="J14" i="1"/>
  <c r="N14" i="1" s="1"/>
  <c r="I14" i="1"/>
  <c r="I13" i="1" s="1"/>
  <c r="I34" i="1" s="1"/>
  <c r="I54" i="1" s="1"/>
  <c r="I72" i="1" s="1"/>
  <c r="G14" i="1"/>
  <c r="F14" i="1"/>
  <c r="E14" i="1"/>
  <c r="H14" i="1" s="1"/>
  <c r="D14" i="1"/>
  <c r="L14" i="1" s="1"/>
  <c r="F13" i="1"/>
  <c r="Q12" i="1"/>
  <c r="P12" i="1"/>
  <c r="O12" i="1"/>
  <c r="N12" i="1"/>
  <c r="M12" i="1"/>
  <c r="L12" i="1"/>
  <c r="K12" i="1"/>
  <c r="H12" i="1"/>
  <c r="G12" i="1"/>
  <c r="Q11" i="1"/>
  <c r="P11" i="1"/>
  <c r="O11" i="1"/>
  <c r="N11" i="1"/>
  <c r="M11" i="1"/>
  <c r="L11" i="1"/>
  <c r="K11" i="1"/>
  <c r="H11" i="1"/>
  <c r="G11" i="1"/>
  <c r="H10" i="1"/>
  <c r="Q9" i="1"/>
  <c r="P9" i="1"/>
  <c r="O9" i="1"/>
  <c r="N9" i="1"/>
  <c r="M9" i="1"/>
  <c r="L9" i="1"/>
  <c r="K9" i="1"/>
  <c r="Q8" i="1"/>
  <c r="P8" i="1"/>
  <c r="O8" i="1"/>
  <c r="N8" i="1"/>
  <c r="M8" i="1"/>
  <c r="L8" i="1"/>
  <c r="K8" i="1"/>
  <c r="H8" i="1"/>
  <c r="G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L71" i="2" l="1"/>
  <c r="K11" i="2"/>
  <c r="G71" i="2"/>
  <c r="H17" i="2"/>
  <c r="F15" i="2"/>
  <c r="F14" i="2" s="1"/>
  <c r="G10" i="2"/>
  <c r="H78" i="2"/>
  <c r="G78" i="2"/>
  <c r="L78" i="2"/>
  <c r="K78" i="2"/>
  <c r="P71" i="1"/>
  <c r="O71" i="1"/>
  <c r="N71" i="1"/>
  <c r="M71" i="1"/>
  <c r="L71" i="1"/>
  <c r="K71" i="1"/>
  <c r="D37" i="2"/>
  <c r="D59" i="2" s="1"/>
  <c r="D80" i="2" s="1"/>
  <c r="J13" i="1"/>
  <c r="K14" i="1"/>
  <c r="P36" i="1"/>
  <c r="H56" i="1"/>
  <c r="P56" i="1"/>
  <c r="H8" i="2"/>
  <c r="L10" i="2"/>
  <c r="D13" i="1"/>
  <c r="D34" i="1" s="1"/>
  <c r="D54" i="1" s="1"/>
  <c r="D72" i="1" s="1"/>
  <c r="E71" i="1"/>
  <c r="K8" i="2"/>
  <c r="I15" i="2"/>
  <c r="G16" i="2"/>
  <c r="J37" i="2"/>
  <c r="G39" i="2"/>
  <c r="K67" i="2"/>
  <c r="M14" i="1"/>
  <c r="E13" i="1"/>
  <c r="E34" i="1" s="1"/>
  <c r="E54" i="1" s="1"/>
  <c r="E72" i="1" s="1"/>
  <c r="K36" i="1"/>
  <c r="K56" i="1"/>
  <c r="F71" i="1"/>
  <c r="H16" i="2"/>
  <c r="L67" i="2"/>
  <c r="O14" i="1"/>
  <c r="F34" i="1"/>
  <c r="L56" i="1"/>
  <c r="G61" i="2"/>
  <c r="M36" i="1"/>
  <c r="M56" i="1"/>
  <c r="G12" i="2"/>
  <c r="G13" i="2"/>
  <c r="G22" i="2"/>
  <c r="K24" i="2"/>
  <c r="E37" i="2"/>
  <c r="E59" i="2" s="1"/>
  <c r="E80" i="2" s="1"/>
  <c r="N36" i="1"/>
  <c r="K16" i="2"/>
  <c r="G67" i="2"/>
  <c r="O56" i="1"/>
  <c r="H67" i="2"/>
  <c r="H15" i="2" l="1"/>
  <c r="G15" i="2"/>
  <c r="K15" i="2"/>
  <c r="I14" i="2"/>
  <c r="H71" i="1"/>
  <c r="G71" i="1"/>
  <c r="G13" i="1"/>
  <c r="F54" i="1"/>
  <c r="G34" i="1"/>
  <c r="H34" i="1"/>
  <c r="H14" i="2"/>
  <c r="F37" i="2"/>
  <c r="G14" i="2"/>
  <c r="Q13" i="1"/>
  <c r="O13" i="1"/>
  <c r="N13" i="1"/>
  <c r="M13" i="1"/>
  <c r="L13" i="1"/>
  <c r="K13" i="1"/>
  <c r="J34" i="1"/>
  <c r="P13" i="1"/>
  <c r="H13" i="1"/>
  <c r="J59" i="2"/>
  <c r="L15" i="2"/>
  <c r="F72" i="1" l="1"/>
  <c r="H54" i="1"/>
  <c r="G54" i="1"/>
  <c r="J80" i="2"/>
  <c r="Q34" i="1"/>
  <c r="P34" i="1"/>
  <c r="O34" i="1"/>
  <c r="N34" i="1"/>
  <c r="J54" i="1"/>
  <c r="M34" i="1"/>
  <c r="L34" i="1"/>
  <c r="S34" i="1"/>
  <c r="K34" i="1"/>
  <c r="R34" i="1"/>
  <c r="L14" i="2"/>
  <c r="I37" i="2"/>
  <c r="K14" i="2"/>
  <c r="G37" i="2"/>
  <c r="F59" i="2"/>
  <c r="H37" i="2"/>
  <c r="N54" i="1" l="1"/>
  <c r="M54" i="1"/>
  <c r="J72" i="1"/>
  <c r="L54" i="1"/>
  <c r="K54" i="1"/>
  <c r="P54" i="1"/>
  <c r="O54" i="1"/>
  <c r="H59" i="2"/>
  <c r="F80" i="2"/>
  <c r="G59" i="2"/>
  <c r="I59" i="2"/>
  <c r="K37" i="2"/>
  <c r="L37" i="2"/>
  <c r="H72" i="1"/>
  <c r="G72" i="1"/>
  <c r="L72" i="1" l="1"/>
  <c r="K72" i="1"/>
  <c r="P72" i="1"/>
  <c r="O72" i="1"/>
  <c r="N72" i="1"/>
  <c r="M72" i="1"/>
  <c r="H80" i="2"/>
  <c r="G80" i="2"/>
  <c r="I80" i="2"/>
  <c r="K59" i="2"/>
  <c r="L59" i="2"/>
  <c r="L80" i="2" l="1"/>
  <c r="K80" i="2"/>
</calcChain>
</file>

<file path=xl/sharedStrings.xml><?xml version="1.0" encoding="utf-8"?>
<sst xmlns="http://schemas.openxmlformats.org/spreadsheetml/2006/main" count="183" uniqueCount="135">
  <si>
    <t>БЮДЖЕТ МІСТА (ДОХОДИ)</t>
  </si>
  <si>
    <t>на 26 червня 2019 року</t>
  </si>
  <si>
    <t>тис.грн.</t>
  </si>
  <si>
    <t>№ п/п</t>
  </si>
  <si>
    <t>Назва показника</t>
  </si>
  <si>
    <t xml:space="preserve">  розпис на 2019 рік</t>
  </si>
  <si>
    <t xml:space="preserve"> розпис  на червень</t>
  </si>
  <si>
    <t>виконано за червень</t>
  </si>
  <si>
    <t>% вико-нання</t>
  </si>
  <si>
    <r>
      <rPr>
        <sz val="11"/>
        <rFont val="Times New Roman"/>
        <family val="1"/>
        <charset val="204"/>
      </rPr>
      <t xml:space="preserve">перевико-нано (+) недовико-нано  (-)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</si>
  <si>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 xml:space="preserve"> розпис  на січень-червень</t>
  </si>
  <si>
    <t>виконано з початку року</t>
  </si>
  <si>
    <r>
      <rPr>
        <sz val="11"/>
        <rFont val="Times New Roman"/>
        <family val="1"/>
        <charset val="204"/>
      </rPr>
      <t xml:space="preserve">перевикон.(+) недовикон.(-) по 1/12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</si>
  <si>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 xml:space="preserve">% вико-нанння по 1/12 </t>
  </si>
  <si>
    <r>
      <rPr>
        <sz val="11"/>
        <rFont val="Times New Roman"/>
        <family val="1"/>
        <charset val="204"/>
      </rPr>
      <t xml:space="preserve">перевикон. недовикон.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</si>
  <si>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 xml:space="preserve">% вико-нанння  </t>
  </si>
  <si>
    <t>Сума пере- виконання</t>
  </si>
  <si>
    <t>До 105%</t>
  </si>
  <si>
    <t>7= 6/5*100</t>
  </si>
  <si>
    <t>8=6-5</t>
  </si>
  <si>
    <t>11=10/4*100</t>
  </si>
  <si>
    <t>12=10-4/12*2</t>
  </si>
  <si>
    <t>13=10/4/12*2</t>
  </si>
  <si>
    <t>14=10-4</t>
  </si>
  <si>
    <t>15=10/4</t>
  </si>
  <si>
    <t>16=10-9</t>
  </si>
  <si>
    <t>17=10-9*1,05</t>
  </si>
  <si>
    <t>Загальний фонд</t>
  </si>
  <si>
    <t xml:space="preserve">Податок на доходи фізичних осіб       60%    </t>
  </si>
  <si>
    <t xml:space="preserve">Податок на прибуток комун. під-в </t>
  </si>
  <si>
    <t>Рентна плата за користування надрами (5%)</t>
  </si>
  <si>
    <t>Акцизний податок:  -пальне</t>
  </si>
  <si>
    <t xml:space="preserve">                       -з роздр.торгівлі алк.і тютюн.вир.</t>
  </si>
  <si>
    <t>Місцеві податки, в т. ч.:</t>
  </si>
  <si>
    <t>а) Податок на майно</t>
  </si>
  <si>
    <t xml:space="preserve"> -Податок на житлову нерухомість</t>
  </si>
  <si>
    <t xml:space="preserve"> -Податок на нежитлову нерухомість</t>
  </si>
  <si>
    <t xml:space="preserve"> -Плата за землю              </t>
  </si>
  <si>
    <t xml:space="preserve"> -Транспортний податок</t>
  </si>
  <si>
    <t>б)Збір за паркування</t>
  </si>
  <si>
    <t>в) Туристичний збір</t>
  </si>
  <si>
    <t>г) Єдиний податок</t>
  </si>
  <si>
    <t>Частина чистого прибутку комун. під-в</t>
  </si>
  <si>
    <t>Плата за розміщення тимчасово вільних коштів</t>
  </si>
  <si>
    <t>Адміністративні штрафи та інші санкції</t>
  </si>
  <si>
    <t>Адміністративний збір за проведення держ. реєстрації юр. осіб, фіз. осіб - підприємців</t>
  </si>
  <si>
    <t>Плата за надання адміністративних послуг</t>
  </si>
  <si>
    <t xml:space="preserve">Адміністративний збір за державну реєстрацію речових прав на нерухоме майно </t>
  </si>
  <si>
    <t xml:space="preserve">Плата за скорочення термінів надання послуг у сфері державної реєстрації </t>
  </si>
  <si>
    <t>Надходження від оренди комун. майна</t>
  </si>
  <si>
    <t xml:space="preserve">Державне мито </t>
  </si>
  <si>
    <t xml:space="preserve">Інші надходження </t>
  </si>
  <si>
    <t>Кошти за  зем. ділянки , які не надані у користування та не передані у власність</t>
  </si>
  <si>
    <t>Надходження від продажу безхазяйного майна</t>
  </si>
  <si>
    <t>Разом доходів загального фонду                                    (без трансфертів)</t>
  </si>
  <si>
    <t xml:space="preserve">Субвенції </t>
  </si>
  <si>
    <t xml:space="preserve">Субвенція на надання пільг та субсидій </t>
  </si>
  <si>
    <t xml:space="preserve">Субвенція на надання пільг та субсидій на придбання твердого та рідкого палива </t>
  </si>
  <si>
    <t>Субвенція на виплату допомог сім'ям з дітьми, малоз.сім'ям</t>
  </si>
  <si>
    <t>Субвенція на утримання дітей сиріт та дітей , позбавлених батьківського піклування</t>
  </si>
  <si>
    <t>Субвенція на видатки у сфері освіти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</si>
  <si>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</si>
  <si>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на надання державної підтримки особам з особливими освітніми потребами</t>
  </si>
  <si>
    <t>Субвенція  на модернізацію матеріально-технічної бази проф.-технічних закладів</t>
  </si>
  <si>
    <t>Освітня субвенція з державного бюджету</t>
  </si>
  <si>
    <t>Медична субвенція з державного бюджету</t>
  </si>
  <si>
    <t xml:space="preserve">Субвенція на здійснення заходів щодо соціально-економічного розвитку </t>
  </si>
  <si>
    <t xml:space="preserve">Субвенція  на забезпечення якісної середньої освіти "Нова українська школа" </t>
  </si>
  <si>
    <t xml:space="preserve">Субвенція з місцевого бюджету на видатки у сфері охорони здоров'я </t>
  </si>
  <si>
    <t>Субвенція на придбання витратних матеріалів для закладів охорони здоров"я та інгаляційної анестезії</t>
  </si>
  <si>
    <t>Субвенція на відшкодування вартості лікарських засобів</t>
  </si>
  <si>
    <t>Інші субвенції з місцевого бюджету</t>
  </si>
  <si>
    <t xml:space="preserve"> Субвенція на реалізацію заходів освіти по підвищенню якості освіти</t>
  </si>
  <si>
    <t xml:space="preserve">Разом доходів загального фонду </t>
  </si>
  <si>
    <t>Бюджет розвитку</t>
  </si>
  <si>
    <t xml:space="preserve">Надходження від відчуження комун. майна </t>
  </si>
  <si>
    <t xml:space="preserve">  </t>
  </si>
  <si>
    <t xml:space="preserve">Надходження від продажу землі </t>
  </si>
  <si>
    <t xml:space="preserve"> </t>
  </si>
  <si>
    <t xml:space="preserve">Надходження коштів пайової участі </t>
  </si>
  <si>
    <t xml:space="preserve">Плата за гарантіі, надані ВР АРК та міськими радами </t>
  </si>
  <si>
    <t>Спеціальний фонд</t>
  </si>
  <si>
    <t>Збір за провадження торговельної діяльності нафтопродуктами на  АЗС</t>
  </si>
  <si>
    <t>Екологічний податок        25%</t>
  </si>
  <si>
    <t>Грошові стягнення за шкоду навколишньому середовищу</t>
  </si>
  <si>
    <t>Відсотки за кредит на буд-во  житла</t>
  </si>
  <si>
    <t>Власні надходження бюджетних установ - платні послуги</t>
  </si>
  <si>
    <t>Власні надходження бюджетних установ -  гранти, дарунки</t>
  </si>
  <si>
    <t>Цільові фонди</t>
  </si>
  <si>
    <t xml:space="preserve">Субвенція на утримання автомобільних доріг </t>
  </si>
  <si>
    <t>Разом доходів спеціального фонду</t>
  </si>
  <si>
    <t>ВСЬОГО ДОХОДІВ</t>
  </si>
  <si>
    <t>БЮДЖЕТ  ЛУЦЬКОЇ МТГ   (ДОХОДИ)</t>
  </si>
  <si>
    <t xml:space="preserve">  розпис на 2025 рік</t>
  </si>
  <si>
    <t xml:space="preserve"> розпис  на липень</t>
  </si>
  <si>
    <t>виконано за липень</t>
  </si>
  <si>
    <r>
      <rPr>
        <sz val="11"/>
        <rFont val="Times New Roman"/>
        <family val="1"/>
        <charset val="204"/>
      </rPr>
      <t xml:space="preserve">перевиконано (+) недовиконано  (-)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</si>
  <si>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 xml:space="preserve"> розпис  на січень-липень</t>
  </si>
  <si>
    <r>
      <rPr>
        <sz val="11"/>
        <rFont val="Times New Roman"/>
        <family val="1"/>
        <charset val="204"/>
      </rPr>
      <t xml:space="preserve">перевиконано (+) недовиконано    (-)                   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</t>
    </r>
  </si>
  <si>
    <t>11=10/9*100</t>
  </si>
  <si>
    <t>12=10-9</t>
  </si>
  <si>
    <t xml:space="preserve">Податок на доходи фізичних осіб     64%   </t>
  </si>
  <si>
    <t>Акциз з реалізації виробниками тютюнових виробів</t>
  </si>
  <si>
    <t>Акциз з роздр. торгівлі підакцизних товарів (крім тютюну)</t>
  </si>
  <si>
    <t>Адмінзбір відповідно до ЗУ "Про держреєстрацію юридичних осіб, фізичних осіб-підприємців та громадських формувань"</t>
  </si>
  <si>
    <t xml:space="preserve">Плата за скорочення термінів надання послуг у сфері держреєстрації речових прав на нерухоме майно </t>
  </si>
  <si>
    <t>Плата за ліцензії на провад. д-ті з орг. та провед. азартних ігор у залах грал.автом</t>
  </si>
  <si>
    <t>Кошти за шкоду, що заподіяна на земельних ділянках, які не надані у користування та не передані у власність, внаслідок їх самовільного зайняття</t>
  </si>
  <si>
    <t>Кошти від реалізації безхазяйного майна</t>
  </si>
  <si>
    <t>Надходження коштів від Держ.фонду дорогоцінних металів і дорогоцінного каміння</t>
  </si>
  <si>
    <t>Орендна плата з водних об"єктів</t>
  </si>
  <si>
    <t>Разом доходів загального фонду  (без трансфертів)</t>
  </si>
  <si>
    <t>Субвенція з держбюджету на забезпечення харчуванням учнів початкових класів закладів ЗСО</t>
  </si>
  <si>
    <t>Субвенція з держбюджету на модернізацію майстерень закладів професійної та фахової передвищої освіти</t>
  </si>
  <si>
    <t>Субвенція з держбюджету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</si>
  <si>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</si>
  <si>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</si>
  <si>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із розвитку ветеранських просторів</t>
  </si>
  <si>
    <t>Інші дотації з місцевого бюджету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</si>
  <si>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</si>
  <si>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r>
      <rPr>
        <sz val="11"/>
        <color rgb="FF333333"/>
        <rFont val="Times New Roman"/>
        <family val="1"/>
        <charset val="204"/>
      </rPr>
  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 </t>
    </r>
    <r>
      <rPr>
        <u/>
        <sz val="11"/>
        <color rgb="FF000080"/>
        <rFont val="Times New Roman"/>
        <family val="1"/>
        <charset val="204"/>
      </rPr>
      <t>пунктами 2 - 5</t>
    </r>
    <r>
      <rPr>
        <sz val="11"/>
        <color rgb="FF333333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1"/>
        <color rgb="FF000080"/>
        <rFont val="Times New Roman"/>
        <family val="1"/>
        <charset val="204"/>
      </rPr>
      <t>пунктами 11 - 14</t>
    </r>
    <r>
      <rPr>
        <sz val="11"/>
        <color rgb="FF33333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  </r>
  </si>
  <si>
    <t>Субвенція на виплату грош.компен. за жилі приміщення для сімей осіб, які отримали поранення під час участі в АТО</t>
  </si>
  <si>
    <t>Субвенція з місцевого бюджету на придбання житла та приміщень для розвитку сімейних та інших форм виховання</t>
  </si>
  <si>
    <t>Субвенція на виплату грош.компен. за належні для отримання жилі приміщення для ВПО</t>
  </si>
  <si>
    <t>Субвенція на виплату грош.компен. за належні для отримання жилі приміщення для сімей УБД на території інших держав</t>
  </si>
  <si>
    <t>Субвенція на забезпечення якісної, сучасної та доступної освіти "НУШ"</t>
  </si>
  <si>
    <t>Субвенція з місцевого бюджету на забезпечення діяльності фахівців із супроводу ветеранів війни та демобілізованих осіб</t>
  </si>
  <si>
    <t>Надходження коштів пайової участі</t>
  </si>
  <si>
    <t xml:space="preserve">Плата за гарантіі, надані міськими радами </t>
  </si>
  <si>
    <t>Власні надходження бюджетних установ  - платні послуги</t>
  </si>
  <si>
    <t>Власні надходження бюджетних установ  - гранти, дарунки</t>
  </si>
  <si>
    <t>Субвенція з держ. бюджету "Надзвичайна кредитна програма для відновлення України"</t>
  </si>
  <si>
    <t>Субвенція з державного бюджету місцевим бюджетам на задоволення потреб у забезпеченні безпечного освітнього середовища</t>
  </si>
  <si>
    <t>Субвенція з державного бюджету на забезпечення харчуванням учнів початкових класів закладів загальної середньої освіти</t>
  </si>
  <si>
    <t>На 29.07.2025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</si>
</sst>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_ ;[Red]\-#,##0.0\ "/>
  </numFmts>
  <fonts count="36" x14ac:knownFonts="1">
    <font>
      <sz val="10"/>
      <name val="Arial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3366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0"/>
      <color rgb="FF003366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0"/>
      <color rgb="FF0066CC"/>
      <name val="Times New Roman"/>
      <family val="1"/>
      <charset val="204"/>
    </font>
    <font>
      <b/>
      <sz val="12"/>
      <color rgb="FF0066CC"/>
      <name val="Times New Roman"/>
      <family val="1"/>
      <charset val="204"/>
    </font>
    <font>
      <b/>
      <sz val="14"/>
      <color rgb="FF0066CC"/>
      <name val="Times New Roman"/>
      <family val="1"/>
      <charset val="204"/>
    </font>
    <font>
      <b/>
      <sz val="14"/>
      <color rgb="FF333399"/>
      <name val="Times New Roman"/>
      <family val="1"/>
      <charset val="204"/>
    </font>
    <font>
      <sz val="10"/>
      <color rgb="FF0066CC"/>
      <name val="Times New Roman"/>
      <family val="1"/>
      <charset val="204"/>
    </font>
    <font>
      <u/>
      <sz val="11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CCC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8">
    <xf numFmtId="0" fontId="0" fillId="0" borderId="0" xfId="0"/>
    <xf numFmtId="0" fontId="7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164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4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0" xfId="0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164" fontId="12" fillId="0" borderId="1" xfId="0" applyNumberFormat="1" applyFont="1" applyBorder="1" applyAlignment="1" applyProtection="1">
      <protection locked="0"/>
    </xf>
    <xf numFmtId="164" fontId="13" fillId="0" borderId="2" xfId="0" applyNumberFormat="1" applyFont="1" applyBorder="1" applyAlignment="1" applyProtection="1"/>
    <xf numFmtId="164" fontId="12" fillId="0" borderId="3" xfId="0" applyNumberFormat="1" applyFont="1" applyBorder="1" applyAlignment="1" applyProtection="1"/>
    <xf numFmtId="164" fontId="12" fillId="0" borderId="4" xfId="0" applyNumberFormat="1" applyFont="1" applyBorder="1" applyAlignment="1" applyProtection="1"/>
    <xf numFmtId="164" fontId="13" fillId="0" borderId="1" xfId="0" applyNumberFormat="1" applyFont="1" applyBorder="1" applyAlignment="1" applyProtection="1"/>
    <xf numFmtId="164" fontId="7" fillId="0" borderId="1" xfId="0" applyNumberFormat="1" applyFont="1" applyBorder="1" applyAlignment="1" applyProtection="1">
      <protection locked="0"/>
    </xf>
    <xf numFmtId="164" fontId="7" fillId="0" borderId="5" xfId="0" applyNumberFormat="1" applyFont="1" applyBorder="1" applyAlignment="1" applyProtection="1">
      <protection locked="0"/>
    </xf>
    <xf numFmtId="164" fontId="7" fillId="0" borderId="6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wrapText="1"/>
      <protection locked="0"/>
    </xf>
    <xf numFmtId="164" fontId="12" fillId="0" borderId="2" xfId="0" applyNumberFormat="1" applyFont="1" applyBorder="1" applyAlignment="1" applyProtection="1"/>
    <xf numFmtId="0" fontId="14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165" fontId="12" fillId="0" borderId="1" xfId="0" applyNumberFormat="1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164" fontId="12" fillId="0" borderId="1" xfId="0" applyNumberFormat="1" applyFont="1" applyBorder="1" applyAlignment="1" applyProtection="1">
      <alignment wrapText="1"/>
      <protection locked="0"/>
    </xf>
    <xf numFmtId="164" fontId="13" fillId="0" borderId="1" xfId="0" applyNumberFormat="1" applyFont="1" applyBorder="1" applyAlignment="1" applyProtection="1">
      <protection locked="0"/>
    </xf>
    <xf numFmtId="2" fontId="16" fillId="0" borderId="0" xfId="0" applyNumberFormat="1" applyFont="1" applyAlignment="1" applyProtection="1">
      <alignment wrapText="1"/>
    </xf>
    <xf numFmtId="0" fontId="11" fillId="0" borderId="1" xfId="0" applyFont="1" applyBorder="1" applyAlignment="1" applyProtection="1">
      <alignment wrapText="1"/>
      <protection locked="0"/>
    </xf>
    <xf numFmtId="164" fontId="17" fillId="0" borderId="1" xfId="0" applyNumberFormat="1" applyFont="1" applyBorder="1" applyAlignment="1" applyProtection="1"/>
    <xf numFmtId="164" fontId="17" fillId="0" borderId="2" xfId="0" applyNumberFormat="1" applyFont="1" applyBorder="1" applyAlignment="1" applyProtection="1"/>
    <xf numFmtId="164" fontId="17" fillId="0" borderId="3" xfId="0" applyNumberFormat="1" applyFont="1" applyBorder="1" applyAlignment="1" applyProtection="1"/>
    <xf numFmtId="164" fontId="17" fillId="0" borderId="4" xfId="0" applyNumberFormat="1" applyFont="1" applyBorder="1" applyAlignment="1" applyProtection="1"/>
    <xf numFmtId="164" fontId="18" fillId="0" borderId="1" xfId="0" applyNumberFormat="1" applyFont="1" applyBorder="1" applyAlignment="1" applyProtection="1">
      <protection locked="0"/>
    </xf>
    <xf numFmtId="164" fontId="18" fillId="0" borderId="5" xfId="0" applyNumberFormat="1" applyFont="1" applyBorder="1" applyAlignment="1" applyProtection="1">
      <protection locked="0"/>
    </xf>
    <xf numFmtId="164" fontId="18" fillId="0" borderId="6" xfId="0" applyNumberFormat="1" applyFont="1" applyBorder="1" applyAlignment="1" applyProtection="1">
      <protection locked="0"/>
    </xf>
    <xf numFmtId="164" fontId="19" fillId="3" borderId="0" xfId="0" applyNumberFormat="1" applyFont="1" applyFill="1" applyBorder="1" applyAlignment="1" applyProtection="1">
      <protection locked="0"/>
    </xf>
    <xf numFmtId="164" fontId="20" fillId="4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4" fontId="13" fillId="0" borderId="3" xfId="0" applyNumberFormat="1" applyFont="1" applyBorder="1" applyAlignment="1" applyProtection="1"/>
    <xf numFmtId="164" fontId="13" fillId="0" borderId="4" xfId="0" applyNumberFormat="1" applyFont="1" applyBorder="1" applyAlignment="1" applyProtection="1">
      <protection locked="0"/>
    </xf>
    <xf numFmtId="164" fontId="13" fillId="0" borderId="4" xfId="0" applyNumberFormat="1" applyFont="1" applyBorder="1" applyAlignment="1" applyProtection="1"/>
    <xf numFmtId="1" fontId="3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4" fontId="12" fillId="0" borderId="1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top" wrapText="1"/>
    </xf>
    <xf numFmtId="164" fontId="12" fillId="0" borderId="4" xfId="0" applyNumberFormat="1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164" fontId="21" fillId="0" borderId="1" xfId="0" applyNumberFormat="1" applyFont="1" applyBorder="1" applyAlignment="1" applyProtection="1"/>
    <xf numFmtId="0" fontId="12" fillId="0" borderId="1" xfId="0" applyFont="1" applyBorder="1" applyAlignment="1" applyProtection="1"/>
    <xf numFmtId="0" fontId="22" fillId="0" borderId="1" xfId="0" applyFont="1" applyBorder="1" applyAlignment="1" applyProtection="1">
      <protection locked="0"/>
    </xf>
    <xf numFmtId="164" fontId="23" fillId="0" borderId="1" xfId="0" applyNumberFormat="1" applyFont="1" applyBorder="1" applyAlignment="1" applyProtection="1"/>
    <xf numFmtId="164" fontId="23" fillId="0" borderId="2" xfId="0" applyNumberFormat="1" applyFont="1" applyBorder="1" applyAlignment="1" applyProtection="1"/>
    <xf numFmtId="164" fontId="23" fillId="0" borderId="3" xfId="0" applyNumberFormat="1" applyFont="1" applyBorder="1" applyAlignment="1" applyProtection="1"/>
    <xf numFmtId="164" fontId="23" fillId="0" borderId="4" xfId="0" applyNumberFormat="1" applyFont="1" applyBorder="1" applyAlignment="1" applyProtection="1"/>
    <xf numFmtId="164" fontId="24" fillId="0" borderId="1" xfId="0" applyNumberFormat="1" applyFont="1" applyBorder="1" applyAlignment="1" applyProtection="1">
      <protection locked="0"/>
    </xf>
    <xf numFmtId="164" fontId="24" fillId="0" borderId="5" xfId="0" applyNumberFormat="1" applyFont="1" applyBorder="1" applyAlignment="1" applyProtection="1">
      <protection locked="0"/>
    </xf>
    <xf numFmtId="164" fontId="25" fillId="0" borderId="6" xfId="0" applyNumberFormat="1" applyFont="1" applyBorder="1" applyAlignment="1" applyProtection="1">
      <protection locked="0"/>
    </xf>
    <xf numFmtId="164" fontId="25" fillId="0" borderId="1" xfId="0" applyNumberFormat="1" applyFont="1" applyBorder="1" applyAlignment="1" applyProtection="1">
      <protection locked="0"/>
    </xf>
    <xf numFmtId="164" fontId="26" fillId="0" borderId="0" xfId="0" applyNumberFormat="1" applyFont="1" applyBorder="1" applyAlignment="1" applyProtection="1">
      <protection locked="0"/>
    </xf>
    <xf numFmtId="166" fontId="13" fillId="0" borderId="1" xfId="0" applyNumberFormat="1" applyFont="1" applyBorder="1" applyAlignment="1" applyProtection="1">
      <protection locked="0"/>
    </xf>
    <xf numFmtId="166" fontId="12" fillId="0" borderId="1" xfId="0" applyNumberFormat="1" applyFont="1" applyBorder="1" applyAlignment="1" applyProtection="1">
      <protection locked="0"/>
    </xf>
    <xf numFmtId="0" fontId="22" fillId="0" borderId="1" xfId="0" applyFont="1" applyBorder="1" applyAlignment="1" applyProtection="1">
      <alignment horizontal="left" wrapText="1"/>
      <protection locked="0"/>
    </xf>
    <xf numFmtId="164" fontId="23" fillId="0" borderId="1" xfId="0" applyNumberFormat="1" applyFont="1" applyBorder="1" applyAlignment="1" applyProtection="1">
      <protection locked="0"/>
    </xf>
    <xf numFmtId="4" fontId="7" fillId="0" borderId="1" xfId="0" applyNumberFormat="1" applyFont="1" applyBorder="1" applyAlignment="1" applyProtection="1">
      <alignment horizontal="right"/>
    </xf>
    <xf numFmtId="0" fontId="12" fillId="0" borderId="1" xfId="0" applyFont="1" applyBorder="1" applyAlignment="1" applyProtection="1">
      <protection locked="0"/>
    </xf>
    <xf numFmtId="0" fontId="12" fillId="0" borderId="4" xfId="0" applyFont="1" applyBorder="1" applyAlignment="1" applyProtection="1"/>
    <xf numFmtId="164" fontId="4" fillId="0" borderId="0" xfId="0" applyNumberFormat="1" applyFont="1" applyBorder="1" applyAlignment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65" fontId="27" fillId="0" borderId="0" xfId="0" applyNumberFormat="1" applyFont="1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165" fontId="3" fillId="0" borderId="0" xfId="0" applyNumberFormat="1" applyFont="1" applyBorder="1" applyAlignment="1" applyProtection="1">
      <protection locked="0"/>
    </xf>
    <xf numFmtId="165" fontId="5" fillId="0" borderId="0" xfId="0" applyNumberFormat="1" applyFont="1" applyBorder="1" applyAlignment="1" applyProtection="1">
      <protection locked="0"/>
    </xf>
    <xf numFmtId="165" fontId="3" fillId="0" borderId="0" xfId="0" applyNumberFormat="1" applyFont="1" applyAlignment="1" applyProtection="1">
      <protection locked="0"/>
    </xf>
    <xf numFmtId="165" fontId="5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protection locked="0"/>
    </xf>
    <xf numFmtId="167" fontId="12" fillId="0" borderId="2" xfId="0" applyNumberFormat="1" applyFont="1" applyBorder="1" applyAlignment="1" applyProtection="1"/>
    <xf numFmtId="167" fontId="12" fillId="0" borderId="1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/>
      <protection locked="0"/>
    </xf>
    <xf numFmtId="164" fontId="12" fillId="0" borderId="8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wrapText="1"/>
    </xf>
    <xf numFmtId="0" fontId="28" fillId="0" borderId="1" xfId="0" applyFont="1" applyBorder="1" applyAlignment="1" applyProtection="1">
      <alignment wrapText="1"/>
    </xf>
    <xf numFmtId="0" fontId="18" fillId="0" borderId="1" xfId="0" applyFont="1" applyBorder="1" applyAlignment="1" applyProtection="1">
      <alignment wrapText="1"/>
      <protection locked="0"/>
    </xf>
    <xf numFmtId="167" fontId="17" fillId="0" borderId="2" xfId="0" applyNumberFormat="1" applyFont="1" applyBorder="1" applyAlignment="1" applyProtection="1"/>
    <xf numFmtId="167" fontId="17" fillId="0" borderId="1" xfId="0" applyNumberFormat="1" applyFont="1" applyBorder="1" applyAlignment="1" applyProtection="1"/>
    <xf numFmtId="164" fontId="17" fillId="0" borderId="7" xfId="0" applyNumberFormat="1" applyFont="1" applyBorder="1" applyAlignment="1" applyProtection="1"/>
    <xf numFmtId="0" fontId="29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 wrapText="1"/>
      <protection locked="0"/>
    </xf>
    <xf numFmtId="164" fontId="31" fillId="0" borderId="1" xfId="0" applyNumberFormat="1" applyFont="1" applyBorder="1" applyAlignment="1" applyProtection="1"/>
    <xf numFmtId="167" fontId="31" fillId="0" borderId="2" xfId="0" applyNumberFormat="1" applyFont="1" applyBorder="1" applyAlignment="1" applyProtection="1"/>
    <xf numFmtId="164" fontId="31" fillId="0" borderId="4" xfId="0" applyNumberFormat="1" applyFont="1" applyBorder="1" applyAlignment="1" applyProtection="1"/>
    <xf numFmtId="164" fontId="32" fillId="0" borderId="4" xfId="0" applyNumberFormat="1" applyFont="1" applyBorder="1" applyAlignment="1" applyProtection="1"/>
    <xf numFmtId="167" fontId="32" fillId="0" borderId="1" xfId="0" applyNumberFormat="1" applyFont="1" applyBorder="1" applyAlignment="1" applyProtection="1"/>
    <xf numFmtId="0" fontId="33" fillId="0" borderId="0" xfId="0" applyFont="1" applyBorder="1" applyAlignment="1" applyProtection="1">
      <protection locked="0"/>
    </xf>
    <xf numFmtId="167" fontId="33" fillId="0" borderId="0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/>
    <xf numFmtId="167" fontId="12" fillId="0" borderId="9" xfId="0" applyNumberFormat="1" applyFont="1" applyBorder="1" applyAlignment="1" applyProtection="1"/>
    <xf numFmtId="164" fontId="13" fillId="0" borderId="8" xfId="0" applyNumberFormat="1" applyFont="1" applyBorder="1" applyAlignment="1" applyProtection="1">
      <protection locked="0"/>
    </xf>
    <xf numFmtId="164" fontId="12" fillId="0" borderId="10" xfId="0" applyNumberFormat="1" applyFont="1" applyBorder="1" applyAlignment="1" applyProtection="1">
      <protection locked="0"/>
    </xf>
    <xf numFmtId="167" fontId="12" fillId="0" borderId="11" xfId="0" applyNumberFormat="1" applyFont="1" applyBorder="1" applyAlignment="1" applyProtection="1"/>
    <xf numFmtId="167" fontId="12" fillId="0" borderId="8" xfId="0" applyNumberFormat="1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wrapText="1"/>
    </xf>
    <xf numFmtId="167" fontId="12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164" fontId="12" fillId="0" borderId="12" xfId="0" applyNumberFormat="1" applyFont="1" applyBorder="1" applyAlignment="1" applyProtection="1">
      <protection locked="0"/>
    </xf>
    <xf numFmtId="164" fontId="13" fillId="0" borderId="12" xfId="0" applyNumberFormat="1" applyFont="1" applyBorder="1" applyAlignment="1" applyProtection="1">
      <protection locked="0"/>
    </xf>
    <xf numFmtId="164" fontId="12" fillId="0" borderId="13" xfId="0" applyNumberFormat="1" applyFont="1" applyBorder="1" applyAlignment="1" applyProtection="1">
      <protection locked="0"/>
    </xf>
    <xf numFmtId="167" fontId="12" fillId="0" borderId="12" xfId="0" applyNumberFormat="1" applyFont="1" applyBorder="1" applyAlignment="1" applyProtection="1"/>
    <xf numFmtId="0" fontId="28" fillId="0" borderId="0" xfId="0" applyFont="1" applyAlignment="1" applyProtection="1">
      <alignment wrapText="1"/>
    </xf>
    <xf numFmtId="167" fontId="12" fillId="0" borderId="12" xfId="0" applyNumberFormat="1" applyFont="1" applyBorder="1" applyAlignment="1" applyProtection="1"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protection locked="0"/>
    </xf>
    <xf numFmtId="167" fontId="17" fillId="0" borderId="9" xfId="0" applyNumberFormat="1" applyFont="1" applyBorder="1" applyAlignment="1" applyProtection="1"/>
    <xf numFmtId="164" fontId="17" fillId="0" borderId="12" xfId="0" applyNumberFormat="1" applyFont="1" applyBorder="1" applyAlignment="1" applyProtection="1"/>
    <xf numFmtId="0" fontId="19" fillId="0" borderId="0" xfId="0" applyFont="1" applyBorder="1" applyAlignment="1" applyProtection="1">
      <protection locked="0"/>
    </xf>
    <xf numFmtId="0" fontId="30" fillId="0" borderId="1" xfId="0" applyFont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166" fontId="13" fillId="0" borderId="4" xfId="0" applyNumberFormat="1" applyFont="1" applyBorder="1" applyAlignment="1" applyProtection="1">
      <protection locked="0"/>
    </xf>
    <xf numFmtId="166" fontId="12" fillId="0" borderId="4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wrapText="1"/>
    </xf>
    <xf numFmtId="164" fontId="35" fillId="0" borderId="1" xfId="0" applyNumberFormat="1" applyFont="1" applyBorder="1" applyAlignment="1" applyProtection="1">
      <protection locked="0"/>
    </xf>
    <xf numFmtId="167" fontId="13" fillId="0" borderId="2" xfId="0" applyNumberFormat="1" applyFont="1" applyBorder="1" applyAlignment="1" applyProtection="1"/>
    <xf numFmtId="0" fontId="18" fillId="0" borderId="1" xfId="0" applyFont="1" applyBorder="1" applyAlignment="1" applyProtection="1">
      <protection locked="0"/>
    </xf>
    <xf numFmtId="167" fontId="17" fillId="0" borderId="4" xfId="0" applyNumberFormat="1" applyFont="1" applyBorder="1" applyAlignment="1" applyProtection="1"/>
    <xf numFmtId="0" fontId="18" fillId="0" borderId="1" xfId="0" applyFont="1" applyBorder="1" applyAlignment="1" applyProtection="1">
      <alignment horizontal="center"/>
      <protection locked="0"/>
    </xf>
    <xf numFmtId="167" fontId="27" fillId="0" borderId="0" xfId="0" applyNumberFormat="1" applyFont="1" applyBorder="1" applyAlignment="1" applyProtection="1">
      <protection locked="0"/>
    </xf>
    <xf numFmtId="167" fontId="3" fillId="0" borderId="0" xfId="0" applyNumberFormat="1" applyFont="1" applyBorder="1" applyAlignment="1" applyProtection="1">
      <protection locked="0"/>
    </xf>
    <xf numFmtId="167" fontId="12" fillId="0" borderId="0" xfId="0" applyNumberFormat="1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0"/>
  <sheetViews>
    <sheetView zoomScale="85" zoomScaleNormal="85" workbookViewId="0">
      <pane ySplit="5" topLeftCell="A23" activePane="bottomLeft" state="frozen"/>
      <selection pane="bottomLeft" activeCell="J8" sqref="J8"/>
    </sheetView>
  </sheetViews>
  <sheetFormatPr defaultColWidth="9" defaultRowHeight="15" customHeight="1" x14ac:dyDescent="0.25"/>
  <cols>
    <col min="1" max="1" width="3.85546875" style="3" customWidth="1"/>
    <col min="2" max="2" width="10.140625" style="3" customWidth="1"/>
    <col min="3" max="3" width="41.7109375" style="4" customWidth="1"/>
    <col min="4" max="4" width="15.5703125" style="3" customWidth="1"/>
    <col min="5" max="5" width="12.5703125" style="3" customWidth="1"/>
    <col min="6" max="6" width="12" style="3" customWidth="1"/>
    <col min="7" max="7" width="9.28515625" style="5" customWidth="1"/>
    <col min="8" max="8" width="12.7109375" style="5" customWidth="1"/>
    <col min="9" max="9" width="13.7109375" style="5" customWidth="1"/>
    <col min="10" max="10" width="13.5703125" style="3" customWidth="1"/>
    <col min="11" max="11" width="9.140625" style="3" customWidth="1"/>
    <col min="12" max="12" width="11.7109375" style="3" hidden="1" customWidth="1"/>
    <col min="13" max="13" width="10.28515625" style="3" hidden="1" customWidth="1"/>
    <col min="14" max="14" width="13.140625" style="3" hidden="1" customWidth="1"/>
    <col min="15" max="15" width="7.85546875" style="3" hidden="1" customWidth="1"/>
    <col min="16" max="16" width="11.140625" style="6" hidden="1" customWidth="1"/>
    <col min="17" max="17" width="11.28515625" style="6" hidden="1" customWidth="1"/>
    <col min="18" max="18" width="13.85546875" style="6" customWidth="1"/>
    <col min="19" max="19" width="13.140625" style="6" customWidth="1"/>
    <col min="20" max="27" width="9" style="6"/>
    <col min="28" max="16384" width="9" style="3"/>
  </cols>
  <sheetData>
    <row r="1" spans="1:28" ht="18.7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8" x14ac:dyDescent="0.25">
      <c r="A2" s="7"/>
      <c r="B2" s="7"/>
      <c r="C2" s="8"/>
      <c r="D2" s="7"/>
      <c r="E2" s="7"/>
      <c r="F2" s="7"/>
      <c r="G2" s="9"/>
      <c r="H2" s="9"/>
      <c r="I2" s="9"/>
      <c r="J2" s="7"/>
      <c r="K2" s="7"/>
      <c r="L2" s="7"/>
    </row>
    <row r="3" spans="1:28" ht="15.75" x14ac:dyDescent="0.25">
      <c r="A3" s="7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28" ht="14.25" x14ac:dyDescent="0.2">
      <c r="A4" s="7"/>
      <c r="B4" s="7"/>
      <c r="C4" s="10"/>
      <c r="D4" s="11"/>
      <c r="E4" s="7"/>
      <c r="F4" s="7"/>
      <c r="G4" s="9"/>
      <c r="H4" s="9"/>
      <c r="I4" s="9"/>
      <c r="J4" s="7" t="s">
        <v>2</v>
      </c>
      <c r="K4" s="7"/>
      <c r="L4" s="7"/>
    </row>
    <row r="5" spans="1:28" s="8" customFormat="1" ht="60" x14ac:dyDescent="0.25">
      <c r="A5" s="12" t="s">
        <v>3</v>
      </c>
      <c r="B5" s="13"/>
      <c r="C5" s="14" t="s">
        <v>4</v>
      </c>
      <c r="D5" s="12" t="s">
        <v>5</v>
      </c>
      <c r="E5" s="12" t="s">
        <v>6</v>
      </c>
      <c r="F5" s="12" t="s">
        <v>7</v>
      </c>
      <c r="G5" s="15" t="s">
        <v>8</v>
      </c>
      <c r="H5" s="16" t="s">
        <v>9</v>
      </c>
      <c r="I5" s="17" t="s">
        <v>10</v>
      </c>
      <c r="J5" s="17" t="s">
        <v>11</v>
      </c>
      <c r="K5" s="12" t="s">
        <v>8</v>
      </c>
      <c r="L5" s="18" t="s">
        <v>12</v>
      </c>
      <c r="M5" s="19" t="s">
        <v>13</v>
      </c>
      <c r="N5" s="20" t="s">
        <v>14</v>
      </c>
      <c r="O5" s="18" t="s">
        <v>15</v>
      </c>
      <c r="P5" s="21" t="s">
        <v>16</v>
      </c>
      <c r="Q5" s="22" t="s">
        <v>17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 s="38" customFormat="1" ht="25.5" x14ac:dyDescent="0.2">
      <c r="A6" s="25">
        <v>1</v>
      </c>
      <c r="B6" s="25">
        <v>2</v>
      </c>
      <c r="C6" s="26">
        <v>3</v>
      </c>
      <c r="D6" s="25">
        <v>4</v>
      </c>
      <c r="E6" s="25">
        <v>5</v>
      </c>
      <c r="F6" s="25">
        <v>6</v>
      </c>
      <c r="G6" s="27" t="s">
        <v>18</v>
      </c>
      <c r="H6" s="28" t="s">
        <v>19</v>
      </c>
      <c r="I6" s="29">
        <v>9</v>
      </c>
      <c r="J6" s="29">
        <v>10</v>
      </c>
      <c r="K6" s="30" t="s">
        <v>20</v>
      </c>
      <c r="L6" s="31" t="s">
        <v>21</v>
      </c>
      <c r="M6" s="32" t="s">
        <v>22</v>
      </c>
      <c r="N6" s="33" t="s">
        <v>23</v>
      </c>
      <c r="O6" s="34" t="s">
        <v>24</v>
      </c>
      <c r="P6" s="35" t="s">
        <v>25</v>
      </c>
      <c r="Q6" s="36" t="s">
        <v>26</v>
      </c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8" s="7" customFormat="1" ht="14.25" x14ac:dyDescent="0.2">
      <c r="A7" s="39">
        <v>1</v>
      </c>
      <c r="B7" s="40"/>
      <c r="C7" s="41" t="s">
        <v>27</v>
      </c>
      <c r="D7" s="40"/>
      <c r="E7" s="40"/>
      <c r="F7" s="40"/>
      <c r="G7" s="42"/>
      <c r="H7" s="43"/>
      <c r="I7" s="44"/>
      <c r="J7" s="45"/>
      <c r="K7" s="40"/>
      <c r="L7" s="40"/>
      <c r="M7" s="46"/>
      <c r="N7" s="47"/>
      <c r="O7" s="4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8" s="7" customFormat="1" ht="18.75" x14ac:dyDescent="0.3">
      <c r="A8" s="25">
        <f t="shared" ref="A8:A39" si="0">A7+1</f>
        <v>2</v>
      </c>
      <c r="B8" s="39">
        <v>11010000</v>
      </c>
      <c r="C8" s="13" t="s">
        <v>28</v>
      </c>
      <c r="D8" s="49">
        <v>955578.8</v>
      </c>
      <c r="E8" s="49">
        <v>74350</v>
      </c>
      <c r="F8" s="49">
        <v>79972.5</v>
      </c>
      <c r="G8" s="50">
        <f>F8/E8*100</f>
        <v>107.56220578345663</v>
      </c>
      <c r="H8" s="51">
        <f>F8-E8</f>
        <v>5622.5</v>
      </c>
      <c r="I8" s="52">
        <v>443954.5</v>
      </c>
      <c r="J8" s="49">
        <v>458890.1</v>
      </c>
      <c r="K8" s="53">
        <f>J8*100/I8</f>
        <v>103.36421863051281</v>
      </c>
      <c r="L8" s="54">
        <f>J8-D8/12*2</f>
        <v>299626.96666666667</v>
      </c>
      <c r="M8" s="55">
        <f>J8/(D8/12*9)*100</f>
        <v>64.029619186472814</v>
      </c>
      <c r="N8" s="56">
        <f>J8-D8</f>
        <v>-496688.70000000007</v>
      </c>
      <c r="O8" s="54">
        <f>J8/D8*100</f>
        <v>48.022214389854604</v>
      </c>
      <c r="P8" s="48" t="e">
        <f>J8-#REF!</f>
        <v>#REF!</v>
      </c>
      <c r="Q8" s="48" t="e">
        <f>J8-#REF!*1.05</f>
        <v>#REF!</v>
      </c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8" s="7" customFormat="1" ht="18.75" x14ac:dyDescent="0.3">
      <c r="A9" s="25">
        <f t="shared" si="0"/>
        <v>3</v>
      </c>
      <c r="B9" s="39">
        <v>11020200</v>
      </c>
      <c r="C9" s="13" t="s">
        <v>29</v>
      </c>
      <c r="D9" s="49">
        <v>469</v>
      </c>
      <c r="E9" s="49"/>
      <c r="F9" s="49"/>
      <c r="G9" s="50"/>
      <c r="H9" s="51"/>
      <c r="I9" s="52">
        <v>319</v>
      </c>
      <c r="J9" s="49">
        <v>799.4</v>
      </c>
      <c r="K9" s="53">
        <f>J9*100/I9</f>
        <v>250.59561128526647</v>
      </c>
      <c r="L9" s="54">
        <f>J9-D9/12*2</f>
        <v>721.23333333333335</v>
      </c>
      <c r="M9" s="55">
        <f>J9/(D9/12*9)*100</f>
        <v>227.26368159203977</v>
      </c>
      <c r="N9" s="56">
        <f>J9-D9</f>
        <v>330.4</v>
      </c>
      <c r="O9" s="54">
        <f>J9/D9*100</f>
        <v>170.44776119402985</v>
      </c>
      <c r="P9" s="48" t="e">
        <f>J9-#REF!</f>
        <v>#REF!</v>
      </c>
      <c r="Q9" s="48" t="e">
        <f>J9-#REF!*1.05</f>
        <v>#REF!</v>
      </c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8" s="7" customFormat="1" ht="16.5" customHeight="1" x14ac:dyDescent="0.3">
      <c r="A10" s="25">
        <f t="shared" si="0"/>
        <v>4</v>
      </c>
      <c r="B10" s="39">
        <v>13030100</v>
      </c>
      <c r="C10" s="57" t="s">
        <v>30</v>
      </c>
      <c r="D10" s="49"/>
      <c r="E10" s="49"/>
      <c r="F10" s="49">
        <v>0.1</v>
      </c>
      <c r="G10" s="50"/>
      <c r="H10" s="51">
        <f t="shared" ref="H10:H32" si="1">F10-E10</f>
        <v>0.1</v>
      </c>
      <c r="I10" s="52"/>
      <c r="J10" s="49">
        <v>26.6</v>
      </c>
      <c r="K10" s="53"/>
      <c r="L10" s="54"/>
      <c r="M10" s="55"/>
      <c r="N10" s="56"/>
      <c r="O10" s="54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8" s="7" customFormat="1" ht="18.75" x14ac:dyDescent="0.3">
      <c r="A11" s="25">
        <f t="shared" si="0"/>
        <v>5</v>
      </c>
      <c r="B11" s="39">
        <v>14000000</v>
      </c>
      <c r="C11" s="13" t="s">
        <v>31</v>
      </c>
      <c r="D11" s="49">
        <v>44000</v>
      </c>
      <c r="E11" s="49">
        <v>3745</v>
      </c>
      <c r="F11" s="49">
        <v>2715.4</v>
      </c>
      <c r="G11" s="50">
        <f t="shared" ref="G11:G21" si="2">F11/E11*100</f>
        <v>72.507343124165558</v>
      </c>
      <c r="H11" s="51">
        <f t="shared" si="1"/>
        <v>-1029.5999999999999</v>
      </c>
      <c r="I11" s="52">
        <v>22720</v>
      </c>
      <c r="J11" s="49">
        <v>18630.3</v>
      </c>
      <c r="K11" s="53">
        <f t="shared" ref="K11:K31" si="3">J11*100/I11</f>
        <v>81.999559859154928</v>
      </c>
      <c r="L11" s="54">
        <f t="shared" ref="L11:L31" si="4">J11-D11/12*2</f>
        <v>11296.966666666667</v>
      </c>
      <c r="M11" s="55">
        <f t="shared" ref="M11:M31" si="5">J11/(D11/12*9)*100</f>
        <v>56.455454545454543</v>
      </c>
      <c r="N11" s="56">
        <f t="shared" ref="N11:N31" si="6">J11-D11</f>
        <v>-25369.7</v>
      </c>
      <c r="O11" s="54">
        <f t="shared" ref="O11:O31" si="7">J11/D11*100</f>
        <v>42.341590909090911</v>
      </c>
      <c r="P11" s="48" t="e">
        <f>J11-#REF!</f>
        <v>#REF!</v>
      </c>
      <c r="Q11" s="48" t="e">
        <f>J11-#REF!*1.05</f>
        <v>#REF!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8" s="7" customFormat="1" ht="18.75" customHeight="1" x14ac:dyDescent="0.3">
      <c r="A12" s="25">
        <f t="shared" si="0"/>
        <v>6</v>
      </c>
      <c r="B12" s="39"/>
      <c r="C12" s="58" t="s">
        <v>32</v>
      </c>
      <c r="D12" s="49">
        <v>53000</v>
      </c>
      <c r="E12" s="49">
        <v>4800</v>
      </c>
      <c r="F12" s="49">
        <v>3068.5</v>
      </c>
      <c r="G12" s="50">
        <f t="shared" si="2"/>
        <v>63.927083333333336</v>
      </c>
      <c r="H12" s="51">
        <f t="shared" si="1"/>
        <v>-1731.5</v>
      </c>
      <c r="I12" s="52">
        <v>26100</v>
      </c>
      <c r="J12" s="49">
        <v>24088.6</v>
      </c>
      <c r="K12" s="53">
        <f t="shared" si="3"/>
        <v>92.293486590038313</v>
      </c>
      <c r="L12" s="54">
        <f t="shared" si="4"/>
        <v>15255.266666666665</v>
      </c>
      <c r="M12" s="55">
        <f t="shared" si="5"/>
        <v>60.600251572327032</v>
      </c>
      <c r="N12" s="56">
        <f t="shared" si="6"/>
        <v>-28911.4</v>
      </c>
      <c r="O12" s="54">
        <f t="shared" si="7"/>
        <v>45.450188679245279</v>
      </c>
      <c r="P12" s="48" t="e">
        <f>J12-#REF!</f>
        <v>#REF!</v>
      </c>
      <c r="Q12" s="48" t="e">
        <f>J12-#REF!*1.05</f>
        <v>#REF!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8" s="7" customFormat="1" ht="18.75" x14ac:dyDescent="0.3">
      <c r="A13" s="25">
        <f t="shared" si="0"/>
        <v>7</v>
      </c>
      <c r="B13" s="39">
        <v>18000000</v>
      </c>
      <c r="C13" s="58" t="s">
        <v>33</v>
      </c>
      <c r="D13" s="49">
        <f>D14+D19+D20+D21</f>
        <v>312114</v>
      </c>
      <c r="E13" s="49">
        <f>E14+E19+E20+E21</f>
        <v>16999</v>
      </c>
      <c r="F13" s="49">
        <f>F14+F19+F20+F21</f>
        <v>15062.400000000001</v>
      </c>
      <c r="G13" s="59">
        <f t="shared" si="2"/>
        <v>88.607565150891233</v>
      </c>
      <c r="H13" s="51">
        <f t="shared" si="1"/>
        <v>-1936.5999999999985</v>
      </c>
      <c r="I13" s="49">
        <f>I14+I19+I20+I21</f>
        <v>146725</v>
      </c>
      <c r="J13" s="49">
        <f>J14+J19+J20+J21</f>
        <v>157498.79999999999</v>
      </c>
      <c r="K13" s="53">
        <f t="shared" si="3"/>
        <v>107.34285227466347</v>
      </c>
      <c r="L13" s="54">
        <f t="shared" si="4"/>
        <v>105479.79999999999</v>
      </c>
      <c r="M13" s="55">
        <f t="shared" si="5"/>
        <v>67.282595461914553</v>
      </c>
      <c r="N13" s="56">
        <f t="shared" si="6"/>
        <v>-154615.20000000001</v>
      </c>
      <c r="O13" s="54">
        <f t="shared" si="7"/>
        <v>50.461946596435915</v>
      </c>
      <c r="P13" s="48" t="e">
        <f>J13-#REF!</f>
        <v>#REF!</v>
      </c>
      <c r="Q13" s="48" t="e">
        <f>J13-#REF!*1.05</f>
        <v>#REF!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1:28" s="7" customFormat="1" ht="18.75" x14ac:dyDescent="0.3">
      <c r="A14" s="25">
        <f t="shared" si="0"/>
        <v>8</v>
      </c>
      <c r="B14" s="60">
        <v>18010000</v>
      </c>
      <c r="C14" s="61" t="s">
        <v>34</v>
      </c>
      <c r="D14" s="49">
        <f>D15+D16+D17+D18</f>
        <v>142160</v>
      </c>
      <c r="E14" s="49">
        <f>E15+E16+E17+E18</f>
        <v>10910</v>
      </c>
      <c r="F14" s="49">
        <f>F15+F16+F17+F18</f>
        <v>9275.1</v>
      </c>
      <c r="G14" s="59">
        <f t="shared" si="2"/>
        <v>85.014665444546296</v>
      </c>
      <c r="H14" s="51">
        <f t="shared" si="1"/>
        <v>-1634.8999999999996</v>
      </c>
      <c r="I14" s="52">
        <f>I15+I16+I17+I18</f>
        <v>67915</v>
      </c>
      <c r="J14" s="49">
        <f>J15+J16+J17+J18</f>
        <v>70319.599999999991</v>
      </c>
      <c r="K14" s="53">
        <f t="shared" si="3"/>
        <v>103.54060222336743</v>
      </c>
      <c r="L14" s="54">
        <f t="shared" si="4"/>
        <v>46626.266666666663</v>
      </c>
      <c r="M14" s="55">
        <f t="shared" si="5"/>
        <v>65.953479647345702</v>
      </c>
      <c r="N14" s="56">
        <f t="shared" si="6"/>
        <v>-71840.400000000009</v>
      </c>
      <c r="O14" s="54">
        <f t="shared" si="7"/>
        <v>49.46510973550928</v>
      </c>
      <c r="P14" s="48" t="e">
        <f>J14-#REF!</f>
        <v>#REF!</v>
      </c>
      <c r="Q14" s="48" t="e">
        <f>J14-#REF!*1.05</f>
        <v>#REF!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1:28" s="7" customFormat="1" ht="18.75" x14ac:dyDescent="0.3">
      <c r="A15" s="25">
        <f t="shared" si="0"/>
        <v>9</v>
      </c>
      <c r="B15" s="39"/>
      <c r="C15" s="61" t="s">
        <v>35</v>
      </c>
      <c r="D15" s="49">
        <v>4500</v>
      </c>
      <c r="E15" s="49">
        <v>1100</v>
      </c>
      <c r="F15" s="49">
        <v>590</v>
      </c>
      <c r="G15" s="59">
        <f t="shared" si="2"/>
        <v>53.63636363636364</v>
      </c>
      <c r="H15" s="51">
        <f t="shared" si="1"/>
        <v>-510</v>
      </c>
      <c r="I15" s="52">
        <v>2140</v>
      </c>
      <c r="J15" s="49">
        <v>1063.0999999999999</v>
      </c>
      <c r="K15" s="53">
        <f t="shared" si="3"/>
        <v>49.677570093457938</v>
      </c>
      <c r="L15" s="54">
        <f t="shared" si="4"/>
        <v>313.09999999999991</v>
      </c>
      <c r="M15" s="55">
        <f t="shared" si="5"/>
        <v>31.499259259259254</v>
      </c>
      <c r="N15" s="56">
        <f t="shared" si="6"/>
        <v>-3436.9</v>
      </c>
      <c r="O15" s="54">
        <f t="shared" si="7"/>
        <v>23.624444444444443</v>
      </c>
      <c r="P15" s="48" t="e">
        <f>J15-#REF!</f>
        <v>#REF!</v>
      </c>
      <c r="Q15" s="48" t="e">
        <f>J15-#REF!*1.05</f>
        <v>#REF!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1:28" s="7" customFormat="1" ht="18.75" x14ac:dyDescent="0.3">
      <c r="A16" s="25">
        <f t="shared" si="0"/>
        <v>10</v>
      </c>
      <c r="B16" s="39"/>
      <c r="C16" s="61" t="s">
        <v>36</v>
      </c>
      <c r="D16" s="49">
        <v>34660</v>
      </c>
      <c r="E16" s="49">
        <v>1300</v>
      </c>
      <c r="F16" s="49">
        <v>1466.1</v>
      </c>
      <c r="G16" s="59">
        <f t="shared" si="2"/>
        <v>112.77692307692307</v>
      </c>
      <c r="H16" s="51">
        <f t="shared" si="1"/>
        <v>166.09999999999991</v>
      </c>
      <c r="I16" s="52">
        <v>15130</v>
      </c>
      <c r="J16" s="49">
        <v>16912.5</v>
      </c>
      <c r="K16" s="53">
        <f t="shared" si="3"/>
        <v>111.78122934567085</v>
      </c>
      <c r="L16" s="54">
        <f t="shared" si="4"/>
        <v>11135.833333333332</v>
      </c>
      <c r="M16" s="55">
        <f t="shared" si="5"/>
        <v>65.060588574725912</v>
      </c>
      <c r="N16" s="56">
        <f t="shared" si="6"/>
        <v>-17747.5</v>
      </c>
      <c r="O16" s="54">
        <f t="shared" si="7"/>
        <v>48.795441431044431</v>
      </c>
      <c r="P16" s="48" t="e">
        <f>J16-#REF!</f>
        <v>#REF!</v>
      </c>
      <c r="Q16" s="48" t="e">
        <f>J16-#REF!*1.05</f>
        <v>#REF!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1:27" s="7" customFormat="1" ht="18.75" x14ac:dyDescent="0.3">
      <c r="A17" s="25">
        <f t="shared" si="0"/>
        <v>11</v>
      </c>
      <c r="B17" s="39"/>
      <c r="C17" s="62" t="s">
        <v>37</v>
      </c>
      <c r="D17" s="49">
        <v>101000</v>
      </c>
      <c r="E17" s="49">
        <v>8250</v>
      </c>
      <c r="F17" s="49">
        <v>7126</v>
      </c>
      <c r="G17" s="59">
        <f t="shared" si="2"/>
        <v>86.375757575757575</v>
      </c>
      <c r="H17" s="51">
        <f t="shared" si="1"/>
        <v>-1124</v>
      </c>
      <c r="I17" s="52">
        <v>49535</v>
      </c>
      <c r="J17" s="49">
        <v>51664.6</v>
      </c>
      <c r="K17" s="53">
        <f t="shared" si="3"/>
        <v>104.29918239628546</v>
      </c>
      <c r="L17" s="54">
        <f t="shared" si="4"/>
        <v>34831.266666666663</v>
      </c>
      <c r="M17" s="55">
        <f t="shared" si="5"/>
        <v>68.204092409240928</v>
      </c>
      <c r="N17" s="56">
        <f t="shared" si="6"/>
        <v>-49335.4</v>
      </c>
      <c r="O17" s="54">
        <f t="shared" si="7"/>
        <v>51.153069306930689</v>
      </c>
      <c r="P17" s="48" t="e">
        <f>J17-#REF!</f>
        <v>#REF!</v>
      </c>
      <c r="Q17" s="48" t="e">
        <f>J17-#REF!*1.05</f>
        <v>#REF!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s="7" customFormat="1" ht="18.75" x14ac:dyDescent="0.3">
      <c r="A18" s="25">
        <f t="shared" si="0"/>
        <v>12</v>
      </c>
      <c r="B18" s="39"/>
      <c r="C18" s="62" t="s">
        <v>38</v>
      </c>
      <c r="D18" s="49">
        <v>2000</v>
      </c>
      <c r="E18" s="49">
        <v>260</v>
      </c>
      <c r="F18" s="49">
        <v>93</v>
      </c>
      <c r="G18" s="59">
        <f t="shared" si="2"/>
        <v>35.769230769230766</v>
      </c>
      <c r="H18" s="51">
        <f t="shared" si="1"/>
        <v>-167</v>
      </c>
      <c r="I18" s="52">
        <v>1110</v>
      </c>
      <c r="J18" s="49">
        <v>679.4</v>
      </c>
      <c r="K18" s="53">
        <f t="shared" si="3"/>
        <v>61.207207207207205</v>
      </c>
      <c r="L18" s="54">
        <f t="shared" si="4"/>
        <v>346.06666666666666</v>
      </c>
      <c r="M18" s="55">
        <f t="shared" si="5"/>
        <v>45.293333333333329</v>
      </c>
      <c r="N18" s="56">
        <f t="shared" si="6"/>
        <v>-1320.6</v>
      </c>
      <c r="O18" s="54">
        <f t="shared" si="7"/>
        <v>33.97</v>
      </c>
      <c r="P18" s="48" t="e">
        <f>J18-#REF!</f>
        <v>#REF!</v>
      </c>
      <c r="Q18" s="48" t="e">
        <f>J18-#REF!*1.05</f>
        <v>#REF!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1:27" s="7" customFormat="1" ht="18.75" x14ac:dyDescent="0.3">
      <c r="A19" s="25">
        <f t="shared" si="0"/>
        <v>13</v>
      </c>
      <c r="B19" s="60">
        <v>18020000</v>
      </c>
      <c r="C19" s="62" t="s">
        <v>39</v>
      </c>
      <c r="D19" s="49">
        <v>24</v>
      </c>
      <c r="E19" s="49">
        <v>2</v>
      </c>
      <c r="F19" s="49">
        <v>10</v>
      </c>
      <c r="G19" s="59">
        <f t="shared" si="2"/>
        <v>500</v>
      </c>
      <c r="H19" s="51">
        <f t="shared" si="1"/>
        <v>8</v>
      </c>
      <c r="I19" s="52">
        <v>12</v>
      </c>
      <c r="J19" s="49">
        <v>12.8</v>
      </c>
      <c r="K19" s="53">
        <f t="shared" si="3"/>
        <v>106.66666666666667</v>
      </c>
      <c r="L19" s="54">
        <f t="shared" si="4"/>
        <v>8.8000000000000007</v>
      </c>
      <c r="M19" s="55">
        <f t="shared" si="5"/>
        <v>71.111111111111114</v>
      </c>
      <c r="N19" s="56">
        <f t="shared" si="6"/>
        <v>-11.2</v>
      </c>
      <c r="O19" s="54">
        <f t="shared" si="7"/>
        <v>53.333333333333336</v>
      </c>
      <c r="P19" s="48" t="e">
        <f>J19-#REF!</f>
        <v>#REF!</v>
      </c>
      <c r="Q19" s="48" t="e">
        <f>J19-#REF!*1.05</f>
        <v>#REF!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s="7" customFormat="1" ht="18.75" x14ac:dyDescent="0.3">
      <c r="A20" s="25">
        <f t="shared" si="0"/>
        <v>14</v>
      </c>
      <c r="B20" s="60">
        <v>18030000</v>
      </c>
      <c r="C20" s="62" t="s">
        <v>40</v>
      </c>
      <c r="D20" s="49">
        <v>265</v>
      </c>
      <c r="E20" s="49">
        <v>7</v>
      </c>
      <c r="F20" s="49">
        <v>6.1</v>
      </c>
      <c r="G20" s="59">
        <f t="shared" si="2"/>
        <v>87.142857142857139</v>
      </c>
      <c r="H20" s="51">
        <f t="shared" si="1"/>
        <v>-0.90000000000000036</v>
      </c>
      <c r="I20" s="52">
        <v>118</v>
      </c>
      <c r="J20" s="49">
        <v>153.19999999999999</v>
      </c>
      <c r="K20" s="53">
        <f t="shared" si="3"/>
        <v>129.83050847457625</v>
      </c>
      <c r="L20" s="54">
        <f t="shared" si="4"/>
        <v>109.03333333333333</v>
      </c>
      <c r="M20" s="55">
        <f t="shared" si="5"/>
        <v>77.081761006289312</v>
      </c>
      <c r="N20" s="56">
        <f t="shared" si="6"/>
        <v>-111.80000000000001</v>
      </c>
      <c r="O20" s="54">
        <f t="shared" si="7"/>
        <v>57.811320754716974</v>
      </c>
      <c r="P20" s="48" t="e">
        <f>J20-#REF!</f>
        <v>#REF!</v>
      </c>
      <c r="Q20" s="48" t="e">
        <f>J20-#REF!*1.05</f>
        <v>#REF!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s="7" customFormat="1" ht="18.75" x14ac:dyDescent="0.3">
      <c r="A21" s="25">
        <f t="shared" si="0"/>
        <v>15</v>
      </c>
      <c r="B21" s="60">
        <v>18050000</v>
      </c>
      <c r="C21" s="62" t="s">
        <v>41</v>
      </c>
      <c r="D21" s="49">
        <v>169665</v>
      </c>
      <c r="E21" s="49">
        <v>6080</v>
      </c>
      <c r="F21" s="49">
        <v>5771.2</v>
      </c>
      <c r="G21" s="59">
        <f t="shared" si="2"/>
        <v>94.921052631578945</v>
      </c>
      <c r="H21" s="51">
        <f t="shared" si="1"/>
        <v>-308.80000000000018</v>
      </c>
      <c r="I21" s="52">
        <v>78680</v>
      </c>
      <c r="J21" s="49">
        <v>87013.2</v>
      </c>
      <c r="K21" s="53">
        <f t="shared" si="3"/>
        <v>110.5912557193696</v>
      </c>
      <c r="L21" s="54">
        <f t="shared" si="4"/>
        <v>58735.7</v>
      </c>
      <c r="M21" s="55">
        <f t="shared" si="5"/>
        <v>68.38039666401437</v>
      </c>
      <c r="N21" s="56">
        <f t="shared" si="6"/>
        <v>-82651.8</v>
      </c>
      <c r="O21" s="54">
        <f t="shared" si="7"/>
        <v>51.285297498010785</v>
      </c>
      <c r="P21" s="48" t="e">
        <f>J21-#REF!</f>
        <v>#REF!</v>
      </c>
      <c r="Q21" s="48" t="e">
        <f>J21-#REF!*1.05</f>
        <v>#REF!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s="7" customFormat="1" ht="18.75" x14ac:dyDescent="0.3">
      <c r="A22" s="25">
        <f t="shared" si="0"/>
        <v>16</v>
      </c>
      <c r="B22" s="39">
        <v>21010300</v>
      </c>
      <c r="C22" s="63" t="s">
        <v>42</v>
      </c>
      <c r="D22" s="49">
        <v>524.5</v>
      </c>
      <c r="E22" s="49"/>
      <c r="F22" s="49"/>
      <c r="G22" s="59"/>
      <c r="H22" s="51">
        <f t="shared" si="1"/>
        <v>0</v>
      </c>
      <c r="I22" s="52">
        <v>285</v>
      </c>
      <c r="J22" s="49">
        <v>524.9</v>
      </c>
      <c r="K22" s="53">
        <f t="shared" si="3"/>
        <v>184.17543859649123</v>
      </c>
      <c r="L22" s="54">
        <f t="shared" si="4"/>
        <v>437.48333333333329</v>
      </c>
      <c r="M22" s="55">
        <f t="shared" si="5"/>
        <v>133.43501747696217</v>
      </c>
      <c r="N22" s="56">
        <f t="shared" si="6"/>
        <v>0.39999999999997726</v>
      </c>
      <c r="O22" s="54">
        <f t="shared" si="7"/>
        <v>100.07626310772164</v>
      </c>
      <c r="P22" s="48" t="e">
        <f>J22-#REF!</f>
        <v>#REF!</v>
      </c>
      <c r="Q22" s="48" t="e">
        <f>J22-#REF!*1.05</f>
        <v>#REF!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1:27" s="7" customFormat="1" ht="21.75" customHeight="1" x14ac:dyDescent="0.3">
      <c r="A23" s="25">
        <f t="shared" si="0"/>
        <v>17</v>
      </c>
      <c r="B23" s="39">
        <v>21050000</v>
      </c>
      <c r="C23" s="63" t="s">
        <v>43</v>
      </c>
      <c r="D23" s="49">
        <v>5000</v>
      </c>
      <c r="E23" s="49">
        <v>500</v>
      </c>
      <c r="F23" s="49">
        <v>426.4</v>
      </c>
      <c r="G23" s="59">
        <f t="shared" ref="G23:G31" si="8">F23/E23*100</f>
        <v>85.28</v>
      </c>
      <c r="H23" s="51">
        <f t="shared" si="1"/>
        <v>-73.600000000000023</v>
      </c>
      <c r="I23" s="52">
        <v>2000</v>
      </c>
      <c r="J23" s="49">
        <v>1050.5</v>
      </c>
      <c r="K23" s="53">
        <f t="shared" si="3"/>
        <v>52.524999999999999</v>
      </c>
      <c r="L23" s="54">
        <f t="shared" si="4"/>
        <v>217.16666666666663</v>
      </c>
      <c r="M23" s="55">
        <f t="shared" si="5"/>
        <v>28.013333333333335</v>
      </c>
      <c r="N23" s="56">
        <f t="shared" si="6"/>
        <v>-3949.5</v>
      </c>
      <c r="O23" s="54">
        <f t="shared" si="7"/>
        <v>21.01</v>
      </c>
      <c r="P23" s="48" t="e">
        <f>J23-#REF!</f>
        <v>#REF!</v>
      </c>
      <c r="Q23" s="48" t="e">
        <f>J23-#REF!*1.05</f>
        <v>#REF!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s="7" customFormat="1" ht="18.75" x14ac:dyDescent="0.3">
      <c r="A24" s="25">
        <f t="shared" si="0"/>
        <v>18</v>
      </c>
      <c r="B24" s="39">
        <v>21080000</v>
      </c>
      <c r="C24" s="63" t="s">
        <v>44</v>
      </c>
      <c r="D24" s="64">
        <v>1300</v>
      </c>
      <c r="E24" s="49">
        <v>100</v>
      </c>
      <c r="F24" s="49">
        <v>252.3</v>
      </c>
      <c r="G24" s="59">
        <f t="shared" si="8"/>
        <v>252.3</v>
      </c>
      <c r="H24" s="51">
        <f t="shared" si="1"/>
        <v>152.30000000000001</v>
      </c>
      <c r="I24" s="52">
        <v>625</v>
      </c>
      <c r="J24" s="49">
        <v>1197.2</v>
      </c>
      <c r="K24" s="53">
        <f t="shared" si="3"/>
        <v>191.55199999999999</v>
      </c>
      <c r="L24" s="54">
        <f t="shared" si="4"/>
        <v>980.53333333333342</v>
      </c>
      <c r="M24" s="55">
        <f t="shared" si="5"/>
        <v>122.78974358974359</v>
      </c>
      <c r="N24" s="56">
        <f t="shared" si="6"/>
        <v>-102.79999999999995</v>
      </c>
      <c r="O24" s="54">
        <f t="shared" si="7"/>
        <v>92.092307692307699</v>
      </c>
      <c r="P24" s="48" t="e">
        <f>J24-#REF!</f>
        <v>#REF!</v>
      </c>
      <c r="Q24" s="48" t="e">
        <f>J24-#REF!*1.05</f>
        <v>#REF!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s="7" customFormat="1" ht="30.75" x14ac:dyDescent="0.3">
      <c r="A25" s="25">
        <f t="shared" si="0"/>
        <v>19</v>
      </c>
      <c r="B25" s="39">
        <v>22010300</v>
      </c>
      <c r="C25" s="65" t="s">
        <v>45</v>
      </c>
      <c r="D25" s="64">
        <v>660</v>
      </c>
      <c r="E25" s="49">
        <v>50</v>
      </c>
      <c r="F25" s="49">
        <v>90.7</v>
      </c>
      <c r="G25" s="59">
        <f t="shared" si="8"/>
        <v>181.4</v>
      </c>
      <c r="H25" s="51">
        <f t="shared" si="1"/>
        <v>40.700000000000003</v>
      </c>
      <c r="I25" s="52">
        <v>300</v>
      </c>
      <c r="J25" s="49">
        <v>535.6</v>
      </c>
      <c r="K25" s="53">
        <f t="shared" si="3"/>
        <v>178.53333333333333</v>
      </c>
      <c r="L25" s="54">
        <f t="shared" si="4"/>
        <v>425.6</v>
      </c>
      <c r="M25" s="55">
        <f t="shared" si="5"/>
        <v>108.20202020202021</v>
      </c>
      <c r="N25" s="56">
        <f t="shared" si="6"/>
        <v>-124.39999999999998</v>
      </c>
      <c r="O25" s="54">
        <f t="shared" si="7"/>
        <v>81.151515151515156</v>
      </c>
      <c r="P25" s="48" t="e">
        <f>J25-#REF!</f>
        <v>#REF!</v>
      </c>
      <c r="Q25" s="48" t="e">
        <f>J25-#REF!*1.05</f>
        <v>#REF!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1:27" s="7" customFormat="1" ht="18.75" x14ac:dyDescent="0.3">
      <c r="A26" s="25">
        <f t="shared" si="0"/>
        <v>20</v>
      </c>
      <c r="B26" s="39">
        <v>22012500</v>
      </c>
      <c r="C26" s="63" t="s">
        <v>46</v>
      </c>
      <c r="D26" s="66">
        <v>20000</v>
      </c>
      <c r="E26" s="49">
        <v>1700</v>
      </c>
      <c r="F26" s="49">
        <v>936.7</v>
      </c>
      <c r="G26" s="59">
        <f t="shared" si="8"/>
        <v>55.1</v>
      </c>
      <c r="H26" s="51">
        <f t="shared" si="1"/>
        <v>-763.3</v>
      </c>
      <c r="I26" s="52">
        <v>9700</v>
      </c>
      <c r="J26" s="49">
        <v>7416.4</v>
      </c>
      <c r="K26" s="53">
        <f t="shared" si="3"/>
        <v>76.457731958762892</v>
      </c>
      <c r="L26" s="54">
        <f t="shared" si="4"/>
        <v>4083.0666666666662</v>
      </c>
      <c r="M26" s="55">
        <f t="shared" si="5"/>
        <v>49.442666666666661</v>
      </c>
      <c r="N26" s="56">
        <f t="shared" si="6"/>
        <v>-12583.6</v>
      </c>
      <c r="O26" s="54">
        <f t="shared" si="7"/>
        <v>37.082000000000001</v>
      </c>
      <c r="P26" s="48" t="e">
        <f>J26-#REF!</f>
        <v>#REF!</v>
      </c>
      <c r="Q26" s="48" t="e">
        <f>J26-#REF!*1.05</f>
        <v>#REF!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s="7" customFormat="1" ht="30.75" x14ac:dyDescent="0.3">
      <c r="A27" s="25">
        <f t="shared" si="0"/>
        <v>21</v>
      </c>
      <c r="B27" s="39">
        <v>22012600</v>
      </c>
      <c r="C27" s="65" t="s">
        <v>47</v>
      </c>
      <c r="D27" s="66">
        <v>650</v>
      </c>
      <c r="E27" s="49">
        <v>50</v>
      </c>
      <c r="F27" s="49">
        <v>57</v>
      </c>
      <c r="G27" s="59">
        <f t="shared" si="8"/>
        <v>113.99999999999999</v>
      </c>
      <c r="H27" s="51">
        <f t="shared" si="1"/>
        <v>7</v>
      </c>
      <c r="I27" s="52">
        <v>330</v>
      </c>
      <c r="J27" s="49">
        <v>294.89999999999998</v>
      </c>
      <c r="K27" s="53">
        <f t="shared" si="3"/>
        <v>89.363636363636346</v>
      </c>
      <c r="L27" s="54">
        <f t="shared" si="4"/>
        <v>186.56666666666666</v>
      </c>
      <c r="M27" s="55">
        <f t="shared" si="5"/>
        <v>60.492307692307691</v>
      </c>
      <c r="N27" s="56">
        <f t="shared" si="6"/>
        <v>-355.1</v>
      </c>
      <c r="O27" s="54">
        <f t="shared" si="7"/>
        <v>45.369230769230768</v>
      </c>
      <c r="P27" s="48" t="e">
        <f>J27-#REF!</f>
        <v>#REF!</v>
      </c>
      <c r="Q27" s="48" t="e">
        <f>J27-#REF!*1.05</f>
        <v>#REF!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 spans="1:27" s="7" customFormat="1" ht="30.75" x14ac:dyDescent="0.3">
      <c r="A28" s="25">
        <f t="shared" si="0"/>
        <v>22</v>
      </c>
      <c r="B28" s="39">
        <v>22012900</v>
      </c>
      <c r="C28" s="65" t="s">
        <v>48</v>
      </c>
      <c r="D28" s="66">
        <v>50</v>
      </c>
      <c r="E28" s="49">
        <v>5</v>
      </c>
      <c r="F28" s="49">
        <v>2.5</v>
      </c>
      <c r="G28" s="59">
        <f t="shared" si="8"/>
        <v>50</v>
      </c>
      <c r="H28" s="51">
        <f t="shared" si="1"/>
        <v>-2.5</v>
      </c>
      <c r="I28" s="52">
        <v>22.5</v>
      </c>
      <c r="J28" s="49">
        <v>11.8</v>
      </c>
      <c r="K28" s="53">
        <f t="shared" si="3"/>
        <v>52.444444444444443</v>
      </c>
      <c r="L28" s="54">
        <f t="shared" si="4"/>
        <v>3.4666666666666668</v>
      </c>
      <c r="M28" s="55">
        <f t="shared" si="5"/>
        <v>31.466666666666672</v>
      </c>
      <c r="N28" s="56">
        <f t="shared" si="6"/>
        <v>-38.200000000000003</v>
      </c>
      <c r="O28" s="54">
        <f t="shared" si="7"/>
        <v>23.6</v>
      </c>
      <c r="P28" s="48" t="e">
        <f>J28-#REF!</f>
        <v>#REF!</v>
      </c>
      <c r="Q28" s="48" t="e">
        <f>J28-#REF!*1.05</f>
        <v>#REF!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 spans="1:27" s="7" customFormat="1" ht="18.75" x14ac:dyDescent="0.3">
      <c r="A29" s="25">
        <f t="shared" si="0"/>
        <v>23</v>
      </c>
      <c r="B29" s="39">
        <v>22080400</v>
      </c>
      <c r="C29" s="58" t="s">
        <v>49</v>
      </c>
      <c r="D29" s="67">
        <v>5350</v>
      </c>
      <c r="E29" s="67">
        <v>463.3</v>
      </c>
      <c r="F29" s="67">
        <v>353.1</v>
      </c>
      <c r="G29" s="59">
        <f t="shared" si="8"/>
        <v>76.214116123462134</v>
      </c>
      <c r="H29" s="51">
        <f t="shared" si="1"/>
        <v>-110.19999999999999</v>
      </c>
      <c r="I29" s="52">
        <v>2569.9</v>
      </c>
      <c r="J29" s="67">
        <v>2707.8</v>
      </c>
      <c r="K29" s="53">
        <f t="shared" si="3"/>
        <v>105.36596754737538</v>
      </c>
      <c r="L29" s="54">
        <f t="shared" si="4"/>
        <v>1816.1333333333337</v>
      </c>
      <c r="M29" s="55">
        <f t="shared" si="5"/>
        <v>67.48411214953272</v>
      </c>
      <c r="N29" s="56">
        <f t="shared" si="6"/>
        <v>-2642.2</v>
      </c>
      <c r="O29" s="54">
        <f t="shared" si="7"/>
        <v>50.613084112149529</v>
      </c>
      <c r="P29" s="48" t="e">
        <f>J29-#REF!</f>
        <v>#REF!</v>
      </c>
      <c r="Q29" s="48" t="e">
        <f>J29-#REF!*1.05</f>
        <v>#REF!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s="7" customFormat="1" ht="18.75" x14ac:dyDescent="0.3">
      <c r="A30" s="25">
        <f t="shared" si="0"/>
        <v>24</v>
      </c>
      <c r="B30" s="39">
        <v>22090000</v>
      </c>
      <c r="C30" s="13" t="s">
        <v>50</v>
      </c>
      <c r="D30" s="67">
        <v>510</v>
      </c>
      <c r="E30" s="67">
        <v>49.5</v>
      </c>
      <c r="F30" s="67">
        <v>34.299999999999997</v>
      </c>
      <c r="G30" s="59">
        <f t="shared" si="8"/>
        <v>69.292929292929287</v>
      </c>
      <c r="H30" s="51">
        <f t="shared" si="1"/>
        <v>-15.200000000000003</v>
      </c>
      <c r="I30" s="52">
        <v>253</v>
      </c>
      <c r="J30" s="67">
        <v>175.6</v>
      </c>
      <c r="K30" s="53">
        <f t="shared" si="3"/>
        <v>69.407114624505923</v>
      </c>
      <c r="L30" s="54">
        <f t="shared" si="4"/>
        <v>90.6</v>
      </c>
      <c r="M30" s="55">
        <f t="shared" si="5"/>
        <v>45.908496732026144</v>
      </c>
      <c r="N30" s="56">
        <f t="shared" si="6"/>
        <v>-334.4</v>
      </c>
      <c r="O30" s="54">
        <f t="shared" si="7"/>
        <v>34.431372549019606</v>
      </c>
      <c r="P30" s="48" t="e">
        <f>J30-#REF!</f>
        <v>#REF!</v>
      </c>
      <c r="Q30" s="48" t="e">
        <f>J30-#REF!*1.05</f>
        <v>#REF!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 spans="1:27" s="7" customFormat="1" ht="18.75" x14ac:dyDescent="0.3">
      <c r="A31" s="25">
        <f t="shared" si="0"/>
        <v>25</v>
      </c>
      <c r="B31" s="39">
        <v>24060300</v>
      </c>
      <c r="C31" s="13" t="s">
        <v>51</v>
      </c>
      <c r="D31" s="67">
        <v>15000</v>
      </c>
      <c r="E31" s="67">
        <v>1400</v>
      </c>
      <c r="F31" s="67">
        <v>1453.5</v>
      </c>
      <c r="G31" s="59">
        <f t="shared" si="8"/>
        <v>103.82142857142857</v>
      </c>
      <c r="H31" s="51">
        <f t="shared" si="1"/>
        <v>53.5</v>
      </c>
      <c r="I31" s="52">
        <v>7200</v>
      </c>
      <c r="J31" s="67">
        <v>10341.6</v>
      </c>
      <c r="K31" s="53">
        <f t="shared" si="3"/>
        <v>143.63333333333333</v>
      </c>
      <c r="L31" s="54">
        <f t="shared" si="4"/>
        <v>7841.6</v>
      </c>
      <c r="M31" s="55">
        <f t="shared" si="5"/>
        <v>91.925333333333342</v>
      </c>
      <c r="N31" s="56">
        <f t="shared" si="6"/>
        <v>-4658.3999999999996</v>
      </c>
      <c r="O31" s="54">
        <f t="shared" si="7"/>
        <v>68.944000000000003</v>
      </c>
      <c r="P31" s="48" t="e">
        <f>J31-#REF!</f>
        <v>#REF!</v>
      </c>
      <c r="Q31" s="48" t="e">
        <f>J31-#REF!*1.05</f>
        <v>#REF!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 spans="1:27" s="7" customFormat="1" ht="27" customHeight="1" x14ac:dyDescent="0.3">
      <c r="A32" s="25">
        <f t="shared" si="0"/>
        <v>26</v>
      </c>
      <c r="B32" s="39">
        <v>24062200</v>
      </c>
      <c r="C32" s="68" t="s">
        <v>52</v>
      </c>
      <c r="D32" s="67"/>
      <c r="E32" s="67"/>
      <c r="F32" s="67">
        <v>3.7</v>
      </c>
      <c r="G32" s="59"/>
      <c r="H32" s="51">
        <f t="shared" si="1"/>
        <v>3.7</v>
      </c>
      <c r="I32" s="52"/>
      <c r="J32" s="67">
        <v>22.4</v>
      </c>
      <c r="K32" s="53"/>
      <c r="L32" s="54"/>
      <c r="M32" s="55"/>
      <c r="N32" s="56"/>
      <c r="O32" s="54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1:27" s="7" customFormat="1" ht="24" customHeight="1" x14ac:dyDescent="0.3">
      <c r="A33" s="25">
        <f t="shared" si="0"/>
        <v>27</v>
      </c>
      <c r="B33" s="39">
        <v>31010200</v>
      </c>
      <c r="C33" s="58" t="s">
        <v>53</v>
      </c>
      <c r="D33" s="67">
        <v>10</v>
      </c>
      <c r="E33" s="67"/>
      <c r="F33" s="67"/>
      <c r="G33" s="59"/>
      <c r="H33" s="51"/>
      <c r="I33" s="52">
        <v>4</v>
      </c>
      <c r="J33" s="67"/>
      <c r="K33" s="53"/>
      <c r="L33" s="54">
        <f>J33-D33/12*2</f>
        <v>-1.6666666666666667</v>
      </c>
      <c r="M33" s="55">
        <f>J33/(D33/12*9)*100</f>
        <v>0</v>
      </c>
      <c r="N33" s="56">
        <f>J33-D33</f>
        <v>-10</v>
      </c>
      <c r="O33" s="54">
        <f>J33/D33*100</f>
        <v>0</v>
      </c>
      <c r="P33" s="48" t="e">
        <f>J33-#REF!</f>
        <v>#REF!</v>
      </c>
      <c r="Q33" s="48" t="e">
        <f>J33-#REF!*1.05</f>
        <v>#REF!</v>
      </c>
      <c r="R33" s="48">
        <v>12100</v>
      </c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7" customFormat="1" ht="30" x14ac:dyDescent="0.3">
      <c r="A34" s="25">
        <f t="shared" si="0"/>
        <v>28</v>
      </c>
      <c r="B34" s="39"/>
      <c r="C34" s="69" t="s">
        <v>54</v>
      </c>
      <c r="D34" s="70">
        <f>D8+D9+D10+D11+D12+D13+D22+D23+D24+D25+D26+D27+D28+D29+D30+D31+D32+D33</f>
        <v>1414216.3</v>
      </c>
      <c r="E34" s="70">
        <f>E8+E9+E10+E11+E12+E13+E22+E23+E24+E25+E26+E27+E28+E29+E30+E31+E32+E33</f>
        <v>104211.8</v>
      </c>
      <c r="F34" s="70">
        <f>F8+F9+F10+F11+F12+F13+F22+F23+F24+F25+F26+F27+F28+F29+F30+F31+F32+F33</f>
        <v>104429.09999999999</v>
      </c>
      <c r="G34" s="71">
        <f>F34/E34*100</f>
        <v>100.20851765347109</v>
      </c>
      <c r="H34" s="72">
        <f>F34-E34</f>
        <v>217.29999999998836</v>
      </c>
      <c r="I34" s="73">
        <f>I8+I9+I10+I11+I12+I13+I22+I23+I24+I25+I26+I27+I28+I29+I30+I31+I32+I33</f>
        <v>663107.9</v>
      </c>
      <c r="J34" s="73">
        <f>J8+J9+J10+J11+J12+J13+J22+J23+J24+J25+J26+J27+J28+J29+J30+J31+J32+J33</f>
        <v>684212.5</v>
      </c>
      <c r="K34" s="70">
        <f>J34*100/I34</f>
        <v>103.18267962122002</v>
      </c>
      <c r="L34" s="74">
        <f>J34-D34/12*2</f>
        <v>448509.78333333333</v>
      </c>
      <c r="M34" s="75">
        <f>J34/(D34/12*2)*100</f>
        <v>290.28621717908356</v>
      </c>
      <c r="N34" s="76">
        <f>J34-D34</f>
        <v>-730003.8</v>
      </c>
      <c r="O34" s="74">
        <f>J34/D34*100</f>
        <v>48.381036196513925</v>
      </c>
      <c r="P34" s="77" t="e">
        <f>J34-#REF!</f>
        <v>#REF!</v>
      </c>
      <c r="Q34" s="78" t="e">
        <f>J34-#REF!*1.05</f>
        <v>#REF!</v>
      </c>
      <c r="R34" s="48">
        <f>J34/D34*100</f>
        <v>48.381036196513925</v>
      </c>
      <c r="S34" s="48">
        <f>J34-I34</f>
        <v>21104.599999999977</v>
      </c>
      <c r="T34" s="48"/>
      <c r="U34" s="48"/>
      <c r="V34" s="48"/>
      <c r="W34" s="48"/>
      <c r="X34" s="48"/>
      <c r="Y34" s="48"/>
      <c r="Z34" s="48"/>
      <c r="AA34" s="48"/>
    </row>
    <row r="35" spans="1:27" s="7" customFormat="1" ht="18.75" x14ac:dyDescent="0.3">
      <c r="A35" s="25">
        <f t="shared" si="0"/>
        <v>29</v>
      </c>
      <c r="B35" s="39"/>
      <c r="C35" s="69"/>
      <c r="D35" s="70"/>
      <c r="E35" s="70"/>
      <c r="F35" s="70"/>
      <c r="G35" s="71"/>
      <c r="H35" s="72"/>
      <c r="I35" s="73"/>
      <c r="J35" s="70"/>
      <c r="K35" s="70"/>
      <c r="L35" s="74"/>
      <c r="M35" s="75"/>
      <c r="N35" s="76"/>
      <c r="O35" s="74"/>
      <c r="P35" s="79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27" s="7" customFormat="1" ht="18.75" x14ac:dyDescent="0.3">
      <c r="A36" s="25">
        <f t="shared" si="0"/>
        <v>30</v>
      </c>
      <c r="B36" s="80">
        <v>41000000</v>
      </c>
      <c r="C36" s="81" t="s">
        <v>55</v>
      </c>
      <c r="D36" s="70">
        <f>D37+D38+D39+D40+D41+D42+D43+D44+D45+D46+D47+D48+D49+D50+D51+D52</f>
        <v>1011247.7</v>
      </c>
      <c r="E36" s="70">
        <f>E37+E38+E39+E40+E41+E42+E43+E44+E45+E46+E47+E48+E49+E50+E51+E52</f>
        <v>112577</v>
      </c>
      <c r="F36" s="70">
        <f>F37+F38+F39+F40+F41+F42+F43+F44+F45+F46+F47+F48+F49+F50+F51+F52+F53</f>
        <v>106153.4</v>
      </c>
      <c r="G36" s="71">
        <f>F36/E36*100</f>
        <v>94.294038746813285</v>
      </c>
      <c r="H36" s="70">
        <f>H37+H38+H39+H40+H41+H42+H43+H44+H45+H46+H47+H48+H49+H50+H51+H52</f>
        <v>-7754.5999999999985</v>
      </c>
      <c r="I36" s="70">
        <f>I37+I38+I39+I40+I41+I42+I43+I44+I45+I46+I47+I48+I49+I50+I51+I52</f>
        <v>593563.80000000016</v>
      </c>
      <c r="J36" s="70">
        <f>J37+J38+J39+J40+J41+J42+J43+J44+J45+J46+J47+J48+J49+J50+J51+J52+J53</f>
        <v>570879.10000000009</v>
      </c>
      <c r="K36" s="70">
        <f t="shared" ref="K36:K41" si="9">J36*100/I36</f>
        <v>96.17822043729754</v>
      </c>
      <c r="L36" s="74">
        <f>J36-D36/12*2</f>
        <v>402337.81666666677</v>
      </c>
      <c r="M36" s="75">
        <f>J36/(D36/12*2)*100</f>
        <v>338.71766531582728</v>
      </c>
      <c r="N36" s="76">
        <f>J36-D36</f>
        <v>-440368.59999999986</v>
      </c>
      <c r="O36" s="74">
        <f>J36/D36*100</f>
        <v>56.452944219304534</v>
      </c>
      <c r="P36" s="79" t="e">
        <f>J36-#REF!</f>
        <v>#REF!</v>
      </c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1:27" s="7" customFormat="1" ht="18.75" x14ac:dyDescent="0.3">
      <c r="A37" s="25">
        <f t="shared" si="0"/>
        <v>31</v>
      </c>
      <c r="B37" s="25">
        <v>41050100</v>
      </c>
      <c r="C37" s="63" t="s">
        <v>56</v>
      </c>
      <c r="D37" s="67">
        <v>136366.5</v>
      </c>
      <c r="E37" s="49">
        <v>18703.599999999999</v>
      </c>
      <c r="F37" s="67">
        <v>12230</v>
      </c>
      <c r="G37" s="59">
        <f>F37/E37*100</f>
        <v>65.388481361876856</v>
      </c>
      <c r="H37" s="82">
        <f>F37-E37</f>
        <v>-6473.5999999999985</v>
      </c>
      <c r="I37" s="83">
        <v>136628.4</v>
      </c>
      <c r="J37" s="67">
        <v>130154.8</v>
      </c>
      <c r="K37" s="53">
        <f t="shared" si="9"/>
        <v>95.261892842190946</v>
      </c>
      <c r="L37" s="54">
        <f>J37-D37/12*2</f>
        <v>107427.05</v>
      </c>
      <c r="M37" s="55">
        <f>J37/(D37/12*9)*100</f>
        <v>127.25979865533937</v>
      </c>
      <c r="N37" s="56">
        <f>J37-D37</f>
        <v>-6211.6999999999971</v>
      </c>
      <c r="O37" s="54">
        <f>J37/D37*100</f>
        <v>95.444848991504514</v>
      </c>
      <c r="P37" s="48" t="e">
        <f>J37-#REF!</f>
        <v>#REF!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1:27" s="7" customFormat="1" ht="30.75" x14ac:dyDescent="0.3">
      <c r="A38" s="25">
        <f t="shared" si="0"/>
        <v>32</v>
      </c>
      <c r="B38" s="25">
        <v>41050200</v>
      </c>
      <c r="C38" s="63" t="s">
        <v>57</v>
      </c>
      <c r="D38" s="67">
        <v>97.2</v>
      </c>
      <c r="E38" s="49"/>
      <c r="F38" s="49"/>
      <c r="G38" s="59"/>
      <c r="H38" s="82">
        <f>F38-E38</f>
        <v>0</v>
      </c>
      <c r="I38" s="84">
        <v>16.5</v>
      </c>
      <c r="J38" s="49">
        <v>16.5</v>
      </c>
      <c r="K38" s="53">
        <f t="shared" si="9"/>
        <v>100</v>
      </c>
      <c r="L38" s="54">
        <f>J38-D38/12*2</f>
        <v>0.30000000000000071</v>
      </c>
      <c r="M38" s="55">
        <f>J38/(D38/12*9)*100</f>
        <v>22.63374485596708</v>
      </c>
      <c r="N38" s="56">
        <f>J38-D38</f>
        <v>-80.7</v>
      </c>
      <c r="O38" s="54">
        <f>J38/D38*100</f>
        <v>16.97530864197531</v>
      </c>
      <c r="P38" s="48" t="e">
        <f>J38-#REF!</f>
        <v>#REF!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1:27" s="7" customFormat="1" ht="30.75" x14ac:dyDescent="0.3">
      <c r="A39" s="25">
        <f t="shared" si="0"/>
        <v>33</v>
      </c>
      <c r="B39" s="25">
        <v>41050300</v>
      </c>
      <c r="C39" s="63" t="s">
        <v>58</v>
      </c>
      <c r="D39" s="67">
        <v>336102.9</v>
      </c>
      <c r="E39" s="49">
        <v>25572.6</v>
      </c>
      <c r="F39" s="49">
        <v>23341.8</v>
      </c>
      <c r="G39" s="59">
        <f>F39/E39*100</f>
        <v>91.276600736726039</v>
      </c>
      <c r="H39" s="82">
        <f>F39-E39</f>
        <v>-2230.7999999999993</v>
      </c>
      <c r="I39" s="84">
        <v>146928.20000000001</v>
      </c>
      <c r="J39" s="49">
        <v>132929</v>
      </c>
      <c r="K39" s="53">
        <f t="shared" si="9"/>
        <v>90.472080921157399</v>
      </c>
      <c r="L39" s="54">
        <f>J39-D39/12*2</f>
        <v>76911.850000000006</v>
      </c>
      <c r="M39" s="55">
        <f>J39/(D39/12*9)*100</f>
        <v>52.733453554452126</v>
      </c>
      <c r="N39" s="56"/>
      <c r="O39" s="54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1:27" s="7" customFormat="1" ht="30.75" x14ac:dyDescent="0.3">
      <c r="A40" s="25">
        <f t="shared" ref="A40:A72" si="10">A39+1</f>
        <v>34</v>
      </c>
      <c r="B40" s="25">
        <v>41050700</v>
      </c>
      <c r="C40" s="63" t="s">
        <v>59</v>
      </c>
      <c r="D40" s="67">
        <v>1300.2</v>
      </c>
      <c r="E40" s="49">
        <v>106.3</v>
      </c>
      <c r="F40" s="49">
        <v>97.6</v>
      </c>
      <c r="G40" s="59">
        <f>F40/E40*100</f>
        <v>91.815616180620879</v>
      </c>
      <c r="H40" s="82">
        <f>F40-E40</f>
        <v>-8.7000000000000028</v>
      </c>
      <c r="I40" s="84">
        <v>622</v>
      </c>
      <c r="J40" s="49">
        <v>523.4</v>
      </c>
      <c r="K40" s="53">
        <f t="shared" si="9"/>
        <v>84.147909967845663</v>
      </c>
      <c r="L40" s="54">
        <f>J40-D40/12*2</f>
        <v>306.69999999999993</v>
      </c>
      <c r="M40" s="55">
        <f>J40/(D40/12*9)*100</f>
        <v>53.673793775316611</v>
      </c>
      <c r="N40" s="56"/>
      <c r="O40" s="54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1:27" s="7" customFormat="1" ht="18.75" x14ac:dyDescent="0.3">
      <c r="A41" s="25">
        <f t="shared" si="10"/>
        <v>35</v>
      </c>
      <c r="B41" s="25">
        <v>41051000</v>
      </c>
      <c r="C41" s="63" t="s">
        <v>60</v>
      </c>
      <c r="D41" s="67">
        <v>1903.2</v>
      </c>
      <c r="E41" s="49">
        <v>304.5</v>
      </c>
      <c r="F41" s="49">
        <v>304.5</v>
      </c>
      <c r="G41" s="59">
        <f>F41/E41*100</f>
        <v>100</v>
      </c>
      <c r="H41" s="82">
        <f>F41-E41</f>
        <v>0</v>
      </c>
      <c r="I41" s="84">
        <v>1199.2</v>
      </c>
      <c r="J41" s="49">
        <v>1199.2</v>
      </c>
      <c r="K41" s="53">
        <f t="shared" si="9"/>
        <v>100</v>
      </c>
      <c r="L41" s="54"/>
      <c r="M41" s="55"/>
      <c r="N41" s="56"/>
      <c r="O41" s="54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27" s="7" customFormat="1" ht="45.75" x14ac:dyDescent="0.3">
      <c r="A42" s="25">
        <f t="shared" si="10"/>
        <v>36</v>
      </c>
      <c r="B42" s="85">
        <v>41051100</v>
      </c>
      <c r="C42" s="86" t="s">
        <v>61</v>
      </c>
      <c r="D42" s="87">
        <v>650</v>
      </c>
      <c r="E42" s="49"/>
      <c r="F42" s="49"/>
      <c r="G42" s="59"/>
      <c r="H42" s="82"/>
      <c r="I42" s="84">
        <v>650</v>
      </c>
      <c r="J42" s="49"/>
      <c r="K42" s="53"/>
      <c r="L42" s="54"/>
      <c r="M42" s="55"/>
      <c r="N42" s="56"/>
      <c r="O42" s="54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s="7" customFormat="1" ht="30.75" x14ac:dyDescent="0.3">
      <c r="A43" s="25">
        <f t="shared" si="10"/>
        <v>37</v>
      </c>
      <c r="B43" s="25">
        <v>41051200</v>
      </c>
      <c r="C43" s="63" t="s">
        <v>62</v>
      </c>
      <c r="D43" s="67">
        <v>861.5</v>
      </c>
      <c r="E43" s="49">
        <v>26.9</v>
      </c>
      <c r="F43" s="49">
        <v>26.9</v>
      </c>
      <c r="G43" s="59">
        <f t="shared" ref="G43:G50" si="11">F43/E43*100</f>
        <v>100</v>
      </c>
      <c r="H43" s="82">
        <f t="shared" ref="H43:H50" si="12">F43-E43</f>
        <v>0</v>
      </c>
      <c r="I43" s="84">
        <v>739.4</v>
      </c>
      <c r="J43" s="49">
        <v>739.4</v>
      </c>
      <c r="K43" s="53">
        <f t="shared" ref="K43:K54" si="13">J43*100/I43</f>
        <v>100</v>
      </c>
      <c r="L43" s="54"/>
      <c r="M43" s="55"/>
      <c r="N43" s="56"/>
      <c r="O43" s="54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s="7" customFormat="1" ht="28.5" customHeight="1" x14ac:dyDescent="0.3">
      <c r="A44" s="25">
        <f t="shared" si="10"/>
        <v>38</v>
      </c>
      <c r="B44" s="25">
        <v>41033800</v>
      </c>
      <c r="C44" s="86" t="s">
        <v>63</v>
      </c>
      <c r="D44" s="67">
        <v>896</v>
      </c>
      <c r="E44" s="49">
        <v>448</v>
      </c>
      <c r="F44" s="49">
        <v>448</v>
      </c>
      <c r="G44" s="59">
        <f t="shared" si="11"/>
        <v>100</v>
      </c>
      <c r="H44" s="82">
        <f t="shared" si="12"/>
        <v>0</v>
      </c>
      <c r="I44" s="84">
        <v>448</v>
      </c>
      <c r="J44" s="49">
        <v>448</v>
      </c>
      <c r="K44" s="53">
        <f t="shared" si="13"/>
        <v>100</v>
      </c>
      <c r="L44" s="54"/>
      <c r="M44" s="55"/>
      <c r="N44" s="56"/>
      <c r="O44" s="54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s="7" customFormat="1" ht="18.75" x14ac:dyDescent="0.3">
      <c r="A45" s="25">
        <f t="shared" si="10"/>
        <v>39</v>
      </c>
      <c r="B45" s="39">
        <v>41033900</v>
      </c>
      <c r="C45" s="63" t="s">
        <v>64</v>
      </c>
      <c r="D45" s="67">
        <v>307458.2</v>
      </c>
      <c r="E45" s="49">
        <v>48094.7</v>
      </c>
      <c r="F45" s="49">
        <v>48094.7</v>
      </c>
      <c r="G45" s="59">
        <f t="shared" si="11"/>
        <v>100</v>
      </c>
      <c r="H45" s="82">
        <f t="shared" si="12"/>
        <v>0</v>
      </c>
      <c r="I45" s="84">
        <v>189394.3</v>
      </c>
      <c r="J45" s="49">
        <v>189394.3</v>
      </c>
      <c r="K45" s="53">
        <f t="shared" si="13"/>
        <v>100</v>
      </c>
      <c r="L45" s="54">
        <f>J45-D45/12*2</f>
        <v>138151.26666666666</v>
      </c>
      <c r="M45" s="55">
        <f>J45/(D45/12*9)*100</f>
        <v>82.133354496101688</v>
      </c>
      <c r="N45" s="56">
        <f>J45-D45</f>
        <v>-118063.90000000002</v>
      </c>
      <c r="O45" s="54">
        <f>J45/D45*100</f>
        <v>61.600015872076263</v>
      </c>
      <c r="P45" s="48" t="e">
        <f>J45-#REF!</f>
        <v>#REF!</v>
      </c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s="7" customFormat="1" ht="18.75" x14ac:dyDescent="0.3">
      <c r="A46" s="25">
        <f t="shared" si="10"/>
        <v>40</v>
      </c>
      <c r="B46" s="39">
        <v>41034200</v>
      </c>
      <c r="C46" s="63" t="s">
        <v>65</v>
      </c>
      <c r="D46" s="67">
        <v>154536.29999999999</v>
      </c>
      <c r="E46" s="49">
        <v>12878</v>
      </c>
      <c r="F46" s="49">
        <v>12878</v>
      </c>
      <c r="G46" s="59">
        <f t="shared" si="11"/>
        <v>100</v>
      </c>
      <c r="H46" s="82">
        <f t="shared" si="12"/>
        <v>0</v>
      </c>
      <c r="I46" s="84">
        <v>77268.3</v>
      </c>
      <c r="J46" s="49">
        <v>77268.3</v>
      </c>
      <c r="K46" s="53">
        <f t="shared" si="13"/>
        <v>100</v>
      </c>
      <c r="L46" s="54">
        <f>J46-D46/12*2</f>
        <v>51512.25</v>
      </c>
      <c r="M46" s="55">
        <f>J46/(D46/12*9)*100</f>
        <v>66.666796086097577</v>
      </c>
      <c r="N46" s="56"/>
      <c r="O46" s="54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s="7" customFormat="1" ht="30" x14ac:dyDescent="0.3">
      <c r="A47" s="25">
        <f t="shared" si="10"/>
        <v>41</v>
      </c>
      <c r="B47" s="39">
        <v>41034500</v>
      </c>
      <c r="C47" s="88" t="s">
        <v>66</v>
      </c>
      <c r="D47" s="67">
        <v>8726.1</v>
      </c>
      <c r="E47" s="49">
        <v>341</v>
      </c>
      <c r="F47" s="49">
        <v>341</v>
      </c>
      <c r="G47" s="59">
        <f t="shared" si="11"/>
        <v>100</v>
      </c>
      <c r="H47" s="82">
        <f t="shared" si="12"/>
        <v>0</v>
      </c>
      <c r="I47" s="49">
        <v>8665.2999999999993</v>
      </c>
      <c r="J47" s="49">
        <v>8665.2999999999993</v>
      </c>
      <c r="K47" s="53">
        <f t="shared" si="13"/>
        <v>100</v>
      </c>
      <c r="L47" s="54"/>
      <c r="M47" s="55"/>
      <c r="N47" s="56"/>
      <c r="O47" s="54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s="7" customFormat="1" ht="30.75" x14ac:dyDescent="0.3">
      <c r="A48" s="25">
        <f t="shared" si="10"/>
        <v>42</v>
      </c>
      <c r="B48" s="39">
        <v>41051400</v>
      </c>
      <c r="C48" s="86" t="s">
        <v>67</v>
      </c>
      <c r="D48" s="67">
        <v>4622.8</v>
      </c>
      <c r="E48" s="49">
        <v>779.9</v>
      </c>
      <c r="F48" s="49">
        <v>779.9</v>
      </c>
      <c r="G48" s="59">
        <f t="shared" si="11"/>
        <v>100</v>
      </c>
      <c r="H48" s="82">
        <f t="shared" si="12"/>
        <v>0</v>
      </c>
      <c r="I48" s="89">
        <v>2472.9</v>
      </c>
      <c r="J48" s="49">
        <v>2472.9</v>
      </c>
      <c r="K48" s="53">
        <f t="shared" si="13"/>
        <v>100</v>
      </c>
      <c r="L48" s="54"/>
      <c r="M48" s="55"/>
      <c r="N48" s="56"/>
      <c r="O48" s="54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s="7" customFormat="1" ht="30.75" x14ac:dyDescent="0.3">
      <c r="A49" s="25">
        <f t="shared" si="10"/>
        <v>43</v>
      </c>
      <c r="B49" s="25">
        <v>41051500</v>
      </c>
      <c r="C49" s="63" t="s">
        <v>68</v>
      </c>
      <c r="D49" s="67">
        <v>39622.1</v>
      </c>
      <c r="E49" s="67">
        <v>4173.2</v>
      </c>
      <c r="F49" s="49">
        <v>4023.2</v>
      </c>
      <c r="G49" s="59">
        <f t="shared" si="11"/>
        <v>96.405635962810308</v>
      </c>
      <c r="H49" s="82">
        <f t="shared" si="12"/>
        <v>-150</v>
      </c>
      <c r="I49" s="84">
        <v>18004.3</v>
      </c>
      <c r="J49" s="49">
        <v>17852.599999999999</v>
      </c>
      <c r="K49" s="53">
        <f t="shared" si="13"/>
        <v>99.157423504385051</v>
      </c>
      <c r="L49" s="54">
        <f t="shared" ref="L49:L54" si="14">J49-D49/12*2</f>
        <v>11248.916666666664</v>
      </c>
      <c r="M49" s="55">
        <f>J49/(D49/12*9)*100</f>
        <v>60.076236914920365</v>
      </c>
      <c r="N49" s="56">
        <f>J49-D49</f>
        <v>-21769.5</v>
      </c>
      <c r="O49" s="54">
        <f>J49/D49*100</f>
        <v>45.057177686190279</v>
      </c>
      <c r="P49" s="48" t="e">
        <f>J49-#REF!</f>
        <v>#REF!</v>
      </c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s="7" customFormat="1" ht="45.75" x14ac:dyDescent="0.3">
      <c r="A50" s="25">
        <f t="shared" si="10"/>
        <v>44</v>
      </c>
      <c r="B50" s="25">
        <v>41051700</v>
      </c>
      <c r="C50" s="63" t="s">
        <v>69</v>
      </c>
      <c r="D50" s="67">
        <v>177</v>
      </c>
      <c r="E50" s="67">
        <v>15.5</v>
      </c>
      <c r="F50" s="49">
        <v>15.5</v>
      </c>
      <c r="G50" s="59">
        <f t="shared" si="11"/>
        <v>100</v>
      </c>
      <c r="H50" s="82">
        <f t="shared" si="12"/>
        <v>0</v>
      </c>
      <c r="I50" s="84">
        <v>92.9</v>
      </c>
      <c r="J50" s="49">
        <v>92.9</v>
      </c>
      <c r="K50" s="53">
        <f t="shared" si="13"/>
        <v>100</v>
      </c>
      <c r="L50" s="54">
        <f t="shared" si="14"/>
        <v>63.400000000000006</v>
      </c>
      <c r="M50" s="55">
        <f>J50/(D50/12*9)*100</f>
        <v>69.981167608286256</v>
      </c>
      <c r="N50" s="56"/>
      <c r="O50" s="54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s="7" customFormat="1" ht="30.75" x14ac:dyDescent="0.3">
      <c r="A51" s="25">
        <f t="shared" si="10"/>
        <v>45</v>
      </c>
      <c r="B51" s="25">
        <v>41052000</v>
      </c>
      <c r="C51" s="63" t="s">
        <v>70</v>
      </c>
      <c r="D51" s="67">
        <v>1414.5</v>
      </c>
      <c r="E51" s="67"/>
      <c r="F51" s="49"/>
      <c r="G51" s="59"/>
      <c r="H51" s="82"/>
      <c r="I51" s="84">
        <v>1414.5</v>
      </c>
      <c r="J51" s="49">
        <v>1414.6</v>
      </c>
      <c r="K51" s="53">
        <f t="shared" si="13"/>
        <v>100.00706963591375</v>
      </c>
      <c r="L51" s="54">
        <f t="shared" si="14"/>
        <v>1178.8499999999999</v>
      </c>
      <c r="M51" s="55">
        <f>J51/(D51/12*9)*100</f>
        <v>133.34275951455166</v>
      </c>
      <c r="N51" s="56">
        <f>J51-D51</f>
        <v>9.9999999999909051E-2</v>
      </c>
      <c r="O51" s="54">
        <f>J51/D51*100</f>
        <v>100.00706963591375</v>
      </c>
      <c r="P51" s="48" t="e">
        <f>J51-#REF!</f>
        <v>#REF!</v>
      </c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s="7" customFormat="1" ht="18.75" x14ac:dyDescent="0.3">
      <c r="A52" s="25">
        <f t="shared" si="10"/>
        <v>46</v>
      </c>
      <c r="B52" s="25">
        <v>41053900</v>
      </c>
      <c r="C52" s="63" t="s">
        <v>71</v>
      </c>
      <c r="D52" s="49">
        <v>16513.2</v>
      </c>
      <c r="E52" s="67">
        <v>1132.8</v>
      </c>
      <c r="F52" s="49">
        <v>2241.3000000000002</v>
      </c>
      <c r="G52" s="59">
        <f>F52/E52*100</f>
        <v>197.85487288135596</v>
      </c>
      <c r="H52" s="82">
        <f>F52-E52</f>
        <v>1108.5000000000002</v>
      </c>
      <c r="I52" s="84">
        <v>9019.6</v>
      </c>
      <c r="J52" s="49">
        <v>6376.9</v>
      </c>
      <c r="K52" s="53">
        <f t="shared" si="13"/>
        <v>70.700474522151751</v>
      </c>
      <c r="L52" s="54">
        <f t="shared" si="14"/>
        <v>3624.6999999999994</v>
      </c>
      <c r="M52" s="55">
        <f>J52/(D52/12*9)*100</f>
        <v>51.489313599625341</v>
      </c>
      <c r="N52" s="56"/>
      <c r="O52" s="54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s="7" customFormat="1" ht="28.5" customHeight="1" x14ac:dyDescent="0.3">
      <c r="A53" s="25">
        <f t="shared" si="10"/>
        <v>47</v>
      </c>
      <c r="B53" s="25">
        <v>41054300</v>
      </c>
      <c r="C53" s="63" t="s">
        <v>72</v>
      </c>
      <c r="D53" s="49">
        <v>1677.8</v>
      </c>
      <c r="E53" s="67">
        <v>1331</v>
      </c>
      <c r="F53" s="49">
        <v>1331</v>
      </c>
      <c r="G53" s="59">
        <f>F53/E53*100</f>
        <v>100</v>
      </c>
      <c r="H53" s="82">
        <f>F53-E53</f>
        <v>0</v>
      </c>
      <c r="I53" s="84">
        <v>1331</v>
      </c>
      <c r="J53" s="49">
        <v>1331</v>
      </c>
      <c r="K53" s="53">
        <f t="shared" si="13"/>
        <v>100</v>
      </c>
      <c r="L53" s="54">
        <f t="shared" si="14"/>
        <v>1051.3666666666668</v>
      </c>
      <c r="M53" s="55">
        <f>J53/(D53/12*9)*100</f>
        <v>105.77343346445743</v>
      </c>
      <c r="N53" s="56"/>
      <c r="O53" s="54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s="7" customFormat="1" ht="18.75" x14ac:dyDescent="0.3">
      <c r="A54" s="25">
        <f t="shared" si="10"/>
        <v>48</v>
      </c>
      <c r="B54" s="39"/>
      <c r="C54" s="90" t="s">
        <v>73</v>
      </c>
      <c r="D54" s="70">
        <f>D34+D36</f>
        <v>2425464</v>
      </c>
      <c r="E54" s="70">
        <f>E34+E36</f>
        <v>216788.8</v>
      </c>
      <c r="F54" s="70">
        <f>F34+F36</f>
        <v>210582.5</v>
      </c>
      <c r="G54" s="71">
        <f>F54/E54*100</f>
        <v>97.137167602754388</v>
      </c>
      <c r="H54" s="72">
        <f>F54-E54</f>
        <v>-6206.2999999999884</v>
      </c>
      <c r="I54" s="73">
        <f>I34+I36</f>
        <v>1256671.7000000002</v>
      </c>
      <c r="J54" s="70">
        <f>J34+J36</f>
        <v>1255091.6000000001</v>
      </c>
      <c r="K54" s="70">
        <f t="shared" si="13"/>
        <v>99.874263103084118</v>
      </c>
      <c r="L54" s="74">
        <f t="shared" si="14"/>
        <v>850847.60000000009</v>
      </c>
      <c r="M54" s="75">
        <f>J54/(D54/12*2)*100</f>
        <v>310.47872077260268</v>
      </c>
      <c r="N54" s="76">
        <f>J54-D54</f>
        <v>-1170372.3999999999</v>
      </c>
      <c r="O54" s="74">
        <f>J54/D54*100</f>
        <v>51.746453462100447</v>
      </c>
      <c r="P54" s="79" t="e">
        <f>J54-#REF!</f>
        <v>#REF!</v>
      </c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s="7" customFormat="1" ht="18.75" x14ac:dyDescent="0.3">
      <c r="A55" s="25">
        <f t="shared" si="10"/>
        <v>49</v>
      </c>
      <c r="B55" s="39"/>
      <c r="C55" s="91"/>
      <c r="D55" s="92"/>
      <c r="E55" s="92"/>
      <c r="F55" s="93"/>
      <c r="G55" s="71"/>
      <c r="H55" s="51"/>
      <c r="I55" s="52"/>
      <c r="J55" s="93"/>
      <c r="K55" s="53"/>
      <c r="L55" s="54"/>
      <c r="M55" s="55"/>
      <c r="N55" s="56"/>
      <c r="O55" s="54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s="7" customFormat="1" ht="18.75" x14ac:dyDescent="0.3">
      <c r="A56" s="25">
        <f t="shared" si="10"/>
        <v>50</v>
      </c>
      <c r="B56" s="39"/>
      <c r="C56" s="94" t="s">
        <v>74</v>
      </c>
      <c r="D56" s="95">
        <f>D57+D58+D59+D60</f>
        <v>44620.023999999998</v>
      </c>
      <c r="E56" s="95">
        <f>E57+E58+E59+E60</f>
        <v>1000</v>
      </c>
      <c r="F56" s="95">
        <f>F57+F58+F59+F60</f>
        <v>69.7</v>
      </c>
      <c r="G56" s="96">
        <f>F56/E56*100</f>
        <v>6.97</v>
      </c>
      <c r="H56" s="97">
        <f>F56-E56</f>
        <v>-930.3</v>
      </c>
      <c r="I56" s="98">
        <f>I57+I58+I59+I60</f>
        <v>23720</v>
      </c>
      <c r="J56" s="95">
        <f>J57+J58+J59+J60</f>
        <v>16845.099999999999</v>
      </c>
      <c r="K56" s="95">
        <f>J56*100/I56</f>
        <v>71.016441821247881</v>
      </c>
      <c r="L56" s="99">
        <f>J56-D56/12*9</f>
        <v>-16619.917999999998</v>
      </c>
      <c r="M56" s="100">
        <f>J56/(D56/12*9)*100</f>
        <v>50.336443865053347</v>
      </c>
      <c r="N56" s="101">
        <f>J56-D56</f>
        <v>-27774.923999999999</v>
      </c>
      <c r="O56" s="102">
        <f>J56/D56*100</f>
        <v>37.752332898790016</v>
      </c>
      <c r="P56" s="103" t="e">
        <f>J56-#REF!</f>
        <v>#REF!</v>
      </c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s="7" customFormat="1" ht="18.75" x14ac:dyDescent="0.3">
      <c r="A57" s="25">
        <f t="shared" si="10"/>
        <v>51</v>
      </c>
      <c r="B57" s="39">
        <v>31030001</v>
      </c>
      <c r="C57" s="13" t="s">
        <v>75</v>
      </c>
      <c r="D57" s="67">
        <v>13000</v>
      </c>
      <c r="E57" s="49"/>
      <c r="F57" s="49"/>
      <c r="G57" s="59"/>
      <c r="H57" s="51">
        <f>F57-E57</f>
        <v>0</v>
      </c>
      <c r="I57" s="52">
        <v>13000</v>
      </c>
      <c r="J57" s="49">
        <v>6427.3</v>
      </c>
      <c r="K57" s="53">
        <f>J57*100/I57</f>
        <v>49.440769230769227</v>
      </c>
      <c r="L57" s="54">
        <f>J57-D57/12*2</f>
        <v>4260.6333333333332</v>
      </c>
      <c r="M57" s="55">
        <f>J57/(D57/12*9)*100</f>
        <v>65.921025641025636</v>
      </c>
      <c r="N57" s="56">
        <f>J57-D57</f>
        <v>-6572.7</v>
      </c>
      <c r="O57" s="54">
        <f>J57/D57*100</f>
        <v>49.440769230769234</v>
      </c>
      <c r="P57" s="48" t="e">
        <f>J57-#REF!</f>
        <v>#REF!</v>
      </c>
      <c r="Q57" s="48"/>
      <c r="R57" s="48"/>
      <c r="S57" s="48"/>
      <c r="T57" s="48" t="s">
        <v>76</v>
      </c>
      <c r="U57" s="48"/>
      <c r="V57" s="48"/>
      <c r="W57" s="48"/>
      <c r="X57" s="48"/>
      <c r="Y57" s="48"/>
      <c r="Z57" s="48"/>
      <c r="AA57" s="48"/>
    </row>
    <row r="58" spans="1:27" s="7" customFormat="1" ht="18.75" x14ac:dyDescent="0.3">
      <c r="A58" s="25">
        <f t="shared" si="10"/>
        <v>52</v>
      </c>
      <c r="B58" s="39">
        <v>33010100</v>
      </c>
      <c r="C58" s="13" t="s">
        <v>77</v>
      </c>
      <c r="D58" s="67">
        <v>15620</v>
      </c>
      <c r="E58" s="49"/>
      <c r="F58" s="49">
        <v>18.100000000000001</v>
      </c>
      <c r="G58" s="59"/>
      <c r="H58" s="51">
        <f>F58-E58</f>
        <v>18.100000000000001</v>
      </c>
      <c r="I58" s="52">
        <v>1920</v>
      </c>
      <c r="J58" s="49">
        <v>2589.3000000000002</v>
      </c>
      <c r="K58" s="53">
        <f>J58*100/I58</f>
        <v>134.85937500000003</v>
      </c>
      <c r="L58" s="54">
        <f>J58-D58/12*2</f>
        <v>-14.033333333333303</v>
      </c>
      <c r="M58" s="55">
        <f>J58/(D58/12*9)*100</f>
        <v>22.102432778489117</v>
      </c>
      <c r="N58" s="56">
        <f>J58-D58</f>
        <v>-13030.7</v>
      </c>
      <c r="O58" s="54">
        <f>J58/D58*100</f>
        <v>16.576824583866838</v>
      </c>
      <c r="P58" s="48" t="e">
        <f>J58-#REF!</f>
        <v>#REF!</v>
      </c>
      <c r="Q58" s="48"/>
      <c r="R58" s="48"/>
      <c r="S58" s="48"/>
      <c r="T58" s="48" t="s">
        <v>78</v>
      </c>
      <c r="U58" s="48"/>
      <c r="V58" s="48"/>
      <c r="W58" s="48"/>
      <c r="X58" s="48"/>
      <c r="Y58" s="48"/>
      <c r="Z58" s="48"/>
      <c r="AA58" s="48"/>
    </row>
    <row r="59" spans="1:27" s="7" customFormat="1" ht="18.75" x14ac:dyDescent="0.3">
      <c r="A59" s="25">
        <f t="shared" si="10"/>
        <v>53</v>
      </c>
      <c r="B59" s="39">
        <v>24170000</v>
      </c>
      <c r="C59" s="58" t="s">
        <v>79</v>
      </c>
      <c r="D59" s="67">
        <v>16000</v>
      </c>
      <c r="E59" s="49">
        <v>1000</v>
      </c>
      <c r="F59" s="49">
        <v>51.6</v>
      </c>
      <c r="G59" s="59">
        <f>F59/E59*100</f>
        <v>5.16</v>
      </c>
      <c r="H59" s="51">
        <f>F59-E59</f>
        <v>-948.4</v>
      </c>
      <c r="I59" s="52">
        <v>8800</v>
      </c>
      <c r="J59" s="49">
        <v>7828.5</v>
      </c>
      <c r="K59" s="53">
        <f>J59*100/I59</f>
        <v>88.960227272727266</v>
      </c>
      <c r="L59" s="54">
        <f>J59-D59/12*2</f>
        <v>5161.8333333333339</v>
      </c>
      <c r="M59" s="55">
        <f>J59/(D59/12*9)*100</f>
        <v>65.237499999999997</v>
      </c>
      <c r="N59" s="56">
        <f>J59-D59</f>
        <v>-8171.5</v>
      </c>
      <c r="O59" s="54">
        <f>J59/D59*100</f>
        <v>48.928125000000001</v>
      </c>
      <c r="P59" s="48" t="e">
        <f>J59-#REF!</f>
        <v>#REF!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:27" s="7" customFormat="1" ht="30.75" x14ac:dyDescent="0.3">
      <c r="A60" s="25">
        <f t="shared" si="10"/>
        <v>54</v>
      </c>
      <c r="B60" s="39">
        <v>24110700</v>
      </c>
      <c r="C60" s="58" t="s">
        <v>80</v>
      </c>
      <c r="D60" s="104">
        <v>2.4E-2</v>
      </c>
      <c r="E60" s="104"/>
      <c r="F60" s="105"/>
      <c r="G60" s="71"/>
      <c r="H60" s="51"/>
      <c r="I60" s="52"/>
      <c r="J60" s="105"/>
      <c r="K60" s="53"/>
      <c r="L60" s="54">
        <f>J60-D60/12*2</f>
        <v>-4.0000000000000001E-3</v>
      </c>
      <c r="M60" s="55">
        <f>J60/(D60/12*9)*100</f>
        <v>0</v>
      </c>
      <c r="N60" s="56">
        <f>J60-D60</f>
        <v>-2.4E-2</v>
      </c>
      <c r="O60" s="54">
        <f>J60/D60*100</f>
        <v>0</v>
      </c>
      <c r="P60" s="48" t="e">
        <f>J60-#REF!</f>
        <v>#REF!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:27" s="7" customFormat="1" ht="18.75" x14ac:dyDescent="0.3">
      <c r="A61" s="25">
        <f t="shared" si="10"/>
        <v>55</v>
      </c>
      <c r="B61" s="39"/>
      <c r="C61" s="106" t="s">
        <v>81</v>
      </c>
      <c r="D61" s="95">
        <f>D62+D63+D64+D65+D68+D66+D67+D69</f>
        <v>47503.3</v>
      </c>
      <c r="E61" s="95">
        <f>E62+E63+E64+E65+E68+E66+E67+E69</f>
        <v>4400.8999999999996</v>
      </c>
      <c r="F61" s="95">
        <f>F62+F63+F64+F65+F68+F66+F67+F69</f>
        <v>7424.9</v>
      </c>
      <c r="G61" s="96">
        <f>F61/E61*100</f>
        <v>168.71321775091459</v>
      </c>
      <c r="H61" s="97">
        <f>F61-E61</f>
        <v>3024</v>
      </c>
      <c r="I61" s="95">
        <f>I62+I63+I64+I65+I68+I66+I67+I69</f>
        <v>24876.300000000003</v>
      </c>
      <c r="J61" s="95">
        <f>J62+J63+J64+J65+J68+J66+J67+J69</f>
        <v>29755</v>
      </c>
      <c r="K61" s="95">
        <f t="shared" ref="K61:K66" si="15">J61*100/I61</f>
        <v>119.61183938125845</v>
      </c>
      <c r="L61" s="95">
        <f t="shared" ref="L61:Q61" si="16">L62+L63+L64+L65+L68+L66+L67</f>
        <v>22473.783333333333</v>
      </c>
      <c r="M61" s="95">
        <f t="shared" si="16"/>
        <v>295.17024465820168</v>
      </c>
      <c r="N61" s="95">
        <f t="shared" si="16"/>
        <v>-13932.300000000001</v>
      </c>
      <c r="O61" s="95">
        <f t="shared" si="16"/>
        <v>221.37768349365123</v>
      </c>
      <c r="P61" s="95" t="e">
        <f t="shared" si="16"/>
        <v>#REF!</v>
      </c>
      <c r="Q61" s="95">
        <f t="shared" si="16"/>
        <v>0</v>
      </c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s="7" customFormat="1" ht="30.75" hidden="1" x14ac:dyDescent="0.3">
      <c r="A62" s="25">
        <f t="shared" si="10"/>
        <v>56</v>
      </c>
      <c r="B62" s="39">
        <v>18041500</v>
      </c>
      <c r="C62" s="58" t="s">
        <v>82</v>
      </c>
      <c r="D62" s="107"/>
      <c r="E62" s="107"/>
      <c r="F62" s="67"/>
      <c r="G62" s="71" t="e">
        <f>F62/E62*100</f>
        <v>#DIV/0!</v>
      </c>
      <c r="H62" s="51">
        <f>F62-E62</f>
        <v>0</v>
      </c>
      <c r="I62" s="52"/>
      <c r="J62" s="67"/>
      <c r="K62" s="53" t="e">
        <f t="shared" si="15"/>
        <v>#DIV/0!</v>
      </c>
      <c r="L62" s="54">
        <f t="shared" ref="L62:L68" si="17">J62-D62/12*2</f>
        <v>0</v>
      </c>
      <c r="M62" s="55"/>
      <c r="N62" s="56"/>
      <c r="O62" s="54"/>
      <c r="P62" s="48" t="e">
        <f>J62-#REF!</f>
        <v>#REF!</v>
      </c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:27" s="7" customFormat="1" ht="18.75" x14ac:dyDescent="0.3">
      <c r="A63" s="25">
        <f t="shared" si="10"/>
        <v>57</v>
      </c>
      <c r="B63" s="39">
        <v>19010000</v>
      </c>
      <c r="C63" s="13" t="s">
        <v>83</v>
      </c>
      <c r="D63" s="49">
        <v>425</v>
      </c>
      <c r="E63" s="49"/>
      <c r="F63" s="49">
        <v>5</v>
      </c>
      <c r="G63" s="59"/>
      <c r="H63" s="51">
        <f>F63-E63</f>
        <v>5</v>
      </c>
      <c r="I63" s="52">
        <v>222</v>
      </c>
      <c r="J63" s="49">
        <v>188.9</v>
      </c>
      <c r="K63" s="53">
        <f t="shared" si="15"/>
        <v>85.090090090090087</v>
      </c>
      <c r="L63" s="54">
        <f t="shared" si="17"/>
        <v>118.06666666666668</v>
      </c>
      <c r="M63" s="55">
        <f>J63/(D63/12*9)*100</f>
        <v>59.262745098039218</v>
      </c>
      <c r="N63" s="56">
        <f t="shared" ref="N63:N68" si="18">J63-D63</f>
        <v>-236.1</v>
      </c>
      <c r="O63" s="54">
        <f>J63/D63*100</f>
        <v>44.44705882352941</v>
      </c>
      <c r="P63" s="48" t="e">
        <f>J63-#REF!</f>
        <v>#REF!</v>
      </c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:27" s="7" customFormat="1" ht="30.75" x14ac:dyDescent="0.3">
      <c r="A64" s="25">
        <f t="shared" si="10"/>
        <v>58</v>
      </c>
      <c r="B64" s="39">
        <v>24062100</v>
      </c>
      <c r="C64" s="63" t="s">
        <v>84</v>
      </c>
      <c r="D64" s="49">
        <v>50</v>
      </c>
      <c r="E64" s="49">
        <v>5</v>
      </c>
      <c r="F64" s="49">
        <v>2.2999999999999998</v>
      </c>
      <c r="G64" s="59">
        <f>F64/E64*100</f>
        <v>46</v>
      </c>
      <c r="H64" s="51">
        <f>F64-E64</f>
        <v>-2.7</v>
      </c>
      <c r="I64" s="52">
        <v>20</v>
      </c>
      <c r="J64" s="49">
        <v>8.1</v>
      </c>
      <c r="K64" s="53">
        <f t="shared" si="15"/>
        <v>40.5</v>
      </c>
      <c r="L64" s="54">
        <f t="shared" si="17"/>
        <v>-0.23333333333333428</v>
      </c>
      <c r="M64" s="55">
        <f>J64/(D64/12*9)*100</f>
        <v>21.6</v>
      </c>
      <c r="N64" s="56">
        <f t="shared" si="18"/>
        <v>-41.9</v>
      </c>
      <c r="O64" s="54">
        <f>J64/D64*100</f>
        <v>16.2</v>
      </c>
      <c r="P64" s="48" t="e">
        <f>J64-#REF!</f>
        <v>#REF!</v>
      </c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:27" s="7" customFormat="1" ht="18.75" x14ac:dyDescent="0.3">
      <c r="A65" s="25">
        <f t="shared" si="10"/>
        <v>59</v>
      </c>
      <c r="B65" s="39">
        <v>24110900</v>
      </c>
      <c r="C65" s="63" t="s">
        <v>85</v>
      </c>
      <c r="D65" s="49">
        <v>4</v>
      </c>
      <c r="E65" s="49">
        <v>1</v>
      </c>
      <c r="F65" s="49">
        <v>0.2</v>
      </c>
      <c r="G65" s="59"/>
      <c r="H65" s="51">
        <f>F65-E65</f>
        <v>-0.8</v>
      </c>
      <c r="I65" s="52">
        <v>2</v>
      </c>
      <c r="J65" s="49">
        <v>2.2000000000000002</v>
      </c>
      <c r="K65" s="53">
        <f t="shared" si="15"/>
        <v>110.00000000000001</v>
      </c>
      <c r="L65" s="54">
        <f t="shared" si="17"/>
        <v>1.5333333333333337</v>
      </c>
      <c r="M65" s="55">
        <f>J65/(D65/12*9)*100</f>
        <v>73.333333333333343</v>
      </c>
      <c r="N65" s="56">
        <f t="shared" si="18"/>
        <v>-1.7999999999999998</v>
      </c>
      <c r="O65" s="54">
        <f>J65/D65*100</f>
        <v>55.000000000000007</v>
      </c>
      <c r="P65" s="48" t="e">
        <f>J65-#REF!</f>
        <v>#REF!</v>
      </c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:27" s="7" customFormat="1" ht="30.75" x14ac:dyDescent="0.3">
      <c r="A66" s="25">
        <f t="shared" si="10"/>
        <v>60</v>
      </c>
      <c r="B66" s="39">
        <v>25010000</v>
      </c>
      <c r="C66" s="63" t="s">
        <v>86</v>
      </c>
      <c r="D66" s="49">
        <v>43008.3</v>
      </c>
      <c r="E66" s="49">
        <f>F66</f>
        <v>3374.9</v>
      </c>
      <c r="F66" s="49">
        <v>3374.9</v>
      </c>
      <c r="G66" s="59">
        <f>F66/E66*100</f>
        <v>100</v>
      </c>
      <c r="H66" s="51"/>
      <c r="I66" s="52">
        <f>J66</f>
        <v>21925.9</v>
      </c>
      <c r="J66" s="49">
        <v>21925.9</v>
      </c>
      <c r="K66" s="53">
        <f t="shared" si="15"/>
        <v>100</v>
      </c>
      <c r="L66" s="54">
        <f t="shared" si="17"/>
        <v>14757.850000000002</v>
      </c>
      <c r="M66" s="55">
        <f>J66/(D66/12*9)*100</f>
        <v>67.974166226829084</v>
      </c>
      <c r="N66" s="56">
        <f t="shared" si="18"/>
        <v>-21082.400000000001</v>
      </c>
      <c r="O66" s="54">
        <f>J66/D66*100</f>
        <v>50.980624670121813</v>
      </c>
      <c r="P66" s="48" t="e">
        <f>J66-#REF!</f>
        <v>#REF!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:27" s="7" customFormat="1" ht="30.75" x14ac:dyDescent="0.3">
      <c r="A67" s="25">
        <f t="shared" si="10"/>
        <v>61</v>
      </c>
      <c r="B67" s="39">
        <v>25020000</v>
      </c>
      <c r="C67" s="63" t="s">
        <v>87</v>
      </c>
      <c r="D67" s="49"/>
      <c r="E67" s="49"/>
      <c r="F67" s="49">
        <v>4042.5</v>
      </c>
      <c r="G67" s="59"/>
      <c r="H67" s="51">
        <f>F67-E67</f>
        <v>4042.5</v>
      </c>
      <c r="I67" s="52"/>
      <c r="J67" s="49">
        <v>7520.4</v>
      </c>
      <c r="K67" s="53"/>
      <c r="L67" s="54">
        <f t="shared" si="17"/>
        <v>7520.4</v>
      </c>
      <c r="M67" s="55"/>
      <c r="N67" s="56">
        <f t="shared" si="18"/>
        <v>7520.4</v>
      </c>
      <c r="O67" s="54"/>
      <c r="P67" s="48" t="e">
        <f>J67-#REF!</f>
        <v>#REF!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:27" s="7" customFormat="1" ht="18.75" x14ac:dyDescent="0.3">
      <c r="A68" s="25">
        <f t="shared" si="10"/>
        <v>62</v>
      </c>
      <c r="B68" s="39">
        <v>50110000</v>
      </c>
      <c r="C68" s="13" t="s">
        <v>88</v>
      </c>
      <c r="D68" s="49">
        <v>200</v>
      </c>
      <c r="E68" s="49">
        <v>20</v>
      </c>
      <c r="F68" s="49"/>
      <c r="G68" s="59">
        <f>F68/E68*100</f>
        <v>0</v>
      </c>
      <c r="H68" s="51">
        <f>F68-E68</f>
        <v>-20</v>
      </c>
      <c r="I68" s="52">
        <v>80</v>
      </c>
      <c r="J68" s="49">
        <v>109.5</v>
      </c>
      <c r="K68" s="53">
        <f>J68*100/I68</f>
        <v>136.875</v>
      </c>
      <c r="L68" s="54">
        <f t="shared" si="17"/>
        <v>76.166666666666657</v>
      </c>
      <c r="M68" s="55">
        <f>J68/(D68/12*9)*100</f>
        <v>73</v>
      </c>
      <c r="N68" s="56">
        <f t="shared" si="18"/>
        <v>-90.5</v>
      </c>
      <c r="O68" s="54">
        <f>J68/D68*100</f>
        <v>54.75</v>
      </c>
      <c r="P68" s="48" t="e">
        <f>J68-#REF!</f>
        <v>#REF!</v>
      </c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:27" s="7" customFormat="1" ht="20.25" customHeight="1" x14ac:dyDescent="0.3">
      <c r="A69" s="25">
        <f t="shared" si="10"/>
        <v>63</v>
      </c>
      <c r="B69" s="85">
        <v>41052600</v>
      </c>
      <c r="C69" s="86" t="s">
        <v>89</v>
      </c>
      <c r="D69" s="108">
        <v>3816</v>
      </c>
      <c r="E69" s="49">
        <v>1000</v>
      </c>
      <c r="F69" s="49"/>
      <c r="G69" s="59"/>
      <c r="H69" s="51"/>
      <c r="I69" s="52">
        <v>2626.4</v>
      </c>
      <c r="J69" s="89"/>
      <c r="K69" s="53"/>
      <c r="L69" s="54"/>
      <c r="M69" s="55"/>
      <c r="N69" s="56"/>
      <c r="O69" s="54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:27" s="7" customFormat="1" ht="18.75" x14ac:dyDescent="0.3">
      <c r="A70" s="25">
        <f t="shared" si="10"/>
        <v>64</v>
      </c>
      <c r="B70" s="25"/>
      <c r="C70" s="63"/>
      <c r="D70" s="49"/>
      <c r="E70" s="67"/>
      <c r="F70" s="109"/>
      <c r="G70" s="59"/>
      <c r="H70" s="51"/>
      <c r="I70" s="52"/>
      <c r="J70" s="110"/>
      <c r="K70" s="53"/>
      <c r="L70" s="54"/>
      <c r="M70" s="55"/>
      <c r="N70" s="56"/>
      <c r="O70" s="54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:27" s="7" customFormat="1" ht="18.75" x14ac:dyDescent="0.3">
      <c r="A71" s="25">
        <f t="shared" si="10"/>
        <v>65</v>
      </c>
      <c r="B71" s="39"/>
      <c r="C71" s="90" t="s">
        <v>90</v>
      </c>
      <c r="D71" s="70">
        <f>D61+D56</f>
        <v>92123.323999999993</v>
      </c>
      <c r="E71" s="70">
        <f>E61+E56</f>
        <v>5400.9</v>
      </c>
      <c r="F71" s="70">
        <f>F56+F61</f>
        <v>7494.5999999999995</v>
      </c>
      <c r="G71" s="71">
        <f>F71/E71*100</f>
        <v>138.76576126201186</v>
      </c>
      <c r="H71" s="72">
        <f>F71-E71</f>
        <v>2093.6999999999998</v>
      </c>
      <c r="I71" s="73">
        <f>I56+I61</f>
        <v>48596.3</v>
      </c>
      <c r="J71" s="73">
        <f>J56+J61</f>
        <v>46600.1</v>
      </c>
      <c r="K71" s="70">
        <f>J71*100/I71</f>
        <v>95.892279864927985</v>
      </c>
      <c r="L71" s="74">
        <f>J71-D71/12*2</f>
        <v>31246.212666666666</v>
      </c>
      <c r="M71" s="75">
        <f>J71/(D71/12*2)*100</f>
        <v>303.50685131595992</v>
      </c>
      <c r="N71" s="76">
        <f>J71-D71</f>
        <v>-45523.223999999995</v>
      </c>
      <c r="O71" s="74">
        <f>J71/D71*100</f>
        <v>50.584475219326649</v>
      </c>
      <c r="P71" s="79" t="e">
        <f>J71-#REF!</f>
        <v>#REF!</v>
      </c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:27" s="7" customFormat="1" ht="18.75" x14ac:dyDescent="0.3">
      <c r="A72" s="25">
        <f t="shared" si="10"/>
        <v>66</v>
      </c>
      <c r="B72" s="39"/>
      <c r="C72" s="41" t="s">
        <v>91</v>
      </c>
      <c r="D72" s="70">
        <f>D54+D71</f>
        <v>2517587.324</v>
      </c>
      <c r="E72" s="70">
        <f>E54+E71</f>
        <v>222189.69999999998</v>
      </c>
      <c r="F72" s="70">
        <f>F54+F71</f>
        <v>218077.1</v>
      </c>
      <c r="G72" s="71">
        <f>F72/E72*100</f>
        <v>98.14905911480146</v>
      </c>
      <c r="H72" s="72">
        <f>F72-E72</f>
        <v>-4112.5999999999767</v>
      </c>
      <c r="I72" s="73">
        <f>I54+I71</f>
        <v>1305268.0000000002</v>
      </c>
      <c r="J72" s="73">
        <f>J54+J71</f>
        <v>1301691.7000000002</v>
      </c>
      <c r="K72" s="70">
        <f>J72*100/I72</f>
        <v>99.726010290606979</v>
      </c>
      <c r="L72" s="74">
        <f>J72-D72/12*2</f>
        <v>882093.81266666693</v>
      </c>
      <c r="M72" s="75">
        <f>J72/(D72/12*2)*100</f>
        <v>310.22360676614215</v>
      </c>
      <c r="N72" s="76">
        <f>J72-D72</f>
        <v>-1215895.6239999998</v>
      </c>
      <c r="O72" s="74">
        <f>J72/D72*100</f>
        <v>51.703934461023692</v>
      </c>
      <c r="P72" s="79" t="e">
        <f>J72-#REF!</f>
        <v>#REF!</v>
      </c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s="7" customFormat="1" x14ac:dyDescent="0.25">
      <c r="C73" s="8"/>
      <c r="D73" s="111"/>
      <c r="E73" s="112"/>
      <c r="F73" s="8"/>
      <c r="G73" s="113"/>
      <c r="H73" s="114"/>
      <c r="I73" s="114"/>
      <c r="J73" s="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7" customFormat="1" x14ac:dyDescent="0.25">
      <c r="C74" s="8"/>
      <c r="D74" s="112"/>
      <c r="E74" s="112"/>
      <c r="F74" s="8"/>
      <c r="G74" s="113"/>
      <c r="H74" s="114"/>
      <c r="I74" s="114"/>
      <c r="J74" s="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 s="7" customFormat="1" x14ac:dyDescent="0.25">
      <c r="C75" s="8"/>
      <c r="D75" s="112"/>
      <c r="E75" s="112"/>
      <c r="F75" s="8"/>
      <c r="G75" s="113"/>
      <c r="H75" s="114"/>
      <c r="I75" s="114"/>
      <c r="J75" s="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:27" s="7" customFormat="1" x14ac:dyDescent="0.25">
      <c r="C76" s="8"/>
      <c r="D76" s="112"/>
      <c r="E76" s="112"/>
      <c r="F76" s="8"/>
      <c r="G76" s="113"/>
      <c r="H76" s="114"/>
      <c r="I76" s="114"/>
      <c r="J76" s="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7" s="7" customFormat="1" x14ac:dyDescent="0.25">
      <c r="C77" s="8"/>
      <c r="D77" s="112"/>
      <c r="E77" s="112"/>
      <c r="F77" s="8"/>
      <c r="G77" s="113"/>
      <c r="H77" s="114"/>
      <c r="I77" s="114"/>
      <c r="J77" s="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7" s="7" customFormat="1" x14ac:dyDescent="0.25">
      <c r="C78" s="8"/>
      <c r="D78" s="112"/>
      <c r="E78" s="112"/>
      <c r="F78" s="8"/>
      <c r="G78" s="113"/>
      <c r="H78" s="114"/>
      <c r="I78" s="114"/>
      <c r="J78" s="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7" s="7" customFormat="1" x14ac:dyDescent="0.25">
      <c r="C79" s="8"/>
      <c r="D79" s="112"/>
      <c r="E79" s="112"/>
      <c r="F79" s="8"/>
      <c r="G79" s="113"/>
      <c r="H79" s="114"/>
      <c r="I79" s="114"/>
      <c r="J79" s="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:27" s="7" customFormat="1" x14ac:dyDescent="0.25">
      <c r="C80" s="8"/>
      <c r="D80" s="112"/>
      <c r="E80" s="112"/>
      <c r="F80" s="8"/>
      <c r="G80" s="113"/>
      <c r="H80" s="114"/>
      <c r="I80" s="114"/>
      <c r="J80" s="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3:27" s="7" customFormat="1" x14ac:dyDescent="0.25">
      <c r="C81" s="8"/>
      <c r="D81" s="112"/>
      <c r="E81" s="112"/>
      <c r="F81" s="8"/>
      <c r="G81" s="113"/>
      <c r="H81" s="114"/>
      <c r="I81" s="114"/>
      <c r="J81" s="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3:27" s="7" customFormat="1" x14ac:dyDescent="0.25">
      <c r="C82" s="8"/>
      <c r="D82" s="112"/>
      <c r="E82" s="112"/>
      <c r="F82" s="8"/>
      <c r="G82" s="113"/>
      <c r="H82" s="114"/>
      <c r="I82" s="114"/>
      <c r="J82" s="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3:27" s="7" customFormat="1" x14ac:dyDescent="0.25">
      <c r="C83" s="8"/>
      <c r="D83" s="112"/>
      <c r="E83" s="112"/>
      <c r="F83" s="8"/>
      <c r="G83" s="113"/>
      <c r="H83" s="114"/>
      <c r="I83" s="114"/>
      <c r="J83" s="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3:27" s="7" customFormat="1" x14ac:dyDescent="0.25">
      <c r="C84" s="8"/>
      <c r="D84" s="112"/>
      <c r="E84" s="112"/>
      <c r="F84" s="8"/>
      <c r="G84" s="113"/>
      <c r="H84" s="114"/>
      <c r="I84" s="114"/>
      <c r="J84" s="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3:27" s="7" customFormat="1" x14ac:dyDescent="0.25">
      <c r="C85" s="8"/>
      <c r="D85" s="112"/>
      <c r="E85" s="112"/>
      <c r="F85" s="8"/>
      <c r="G85" s="113"/>
      <c r="H85" s="114"/>
      <c r="I85" s="114"/>
      <c r="J85" s="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3:27" s="7" customFormat="1" x14ac:dyDescent="0.25">
      <c r="C86" s="8"/>
      <c r="D86" s="115"/>
      <c r="E86" s="115"/>
      <c r="G86" s="116"/>
      <c r="H86" s="9"/>
      <c r="I86" s="9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3:27" s="7" customFormat="1" x14ac:dyDescent="0.25">
      <c r="C87" s="8"/>
      <c r="D87" s="115"/>
      <c r="E87" s="115"/>
      <c r="G87" s="116"/>
      <c r="H87" s="9"/>
      <c r="I87" s="9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3:27" s="7" customFormat="1" x14ac:dyDescent="0.25">
      <c r="C88" s="8"/>
      <c r="D88" s="115"/>
      <c r="E88" s="115"/>
      <c r="G88" s="116"/>
      <c r="H88" s="9"/>
      <c r="I88" s="9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3:27" s="7" customFormat="1" x14ac:dyDescent="0.25">
      <c r="C89" s="8"/>
      <c r="D89" s="115"/>
      <c r="E89" s="115"/>
      <c r="G89" s="116"/>
      <c r="H89" s="9"/>
      <c r="I89" s="9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3:27" s="7" customFormat="1" x14ac:dyDescent="0.25">
      <c r="C90" s="8"/>
      <c r="D90" s="115"/>
      <c r="E90" s="115"/>
      <c r="G90" s="116"/>
      <c r="H90" s="9"/>
      <c r="I90" s="9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3:27" s="7" customFormat="1" x14ac:dyDescent="0.25">
      <c r="C91" s="8"/>
      <c r="D91" s="115"/>
      <c r="E91" s="115"/>
      <c r="G91" s="116"/>
      <c r="H91" s="9"/>
      <c r="I91" s="9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3:27" s="7" customFormat="1" x14ac:dyDescent="0.25">
      <c r="C92" s="8"/>
      <c r="D92" s="115"/>
      <c r="E92" s="115"/>
      <c r="G92" s="116"/>
      <c r="H92" s="9"/>
      <c r="I92" s="9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3:27" s="7" customFormat="1" x14ac:dyDescent="0.25">
      <c r="C93" s="8"/>
      <c r="D93" s="115"/>
      <c r="E93" s="115"/>
      <c r="G93" s="116"/>
      <c r="H93" s="9"/>
      <c r="I93" s="9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3:27" s="7" customFormat="1" x14ac:dyDescent="0.25">
      <c r="C94" s="8"/>
      <c r="D94" s="115"/>
      <c r="E94" s="115"/>
      <c r="G94" s="116"/>
      <c r="H94" s="9"/>
      <c r="I94" s="9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3:27" s="7" customFormat="1" x14ac:dyDescent="0.25">
      <c r="C95" s="8"/>
      <c r="D95" s="115"/>
      <c r="E95" s="115"/>
      <c r="G95" s="116"/>
      <c r="H95" s="9"/>
      <c r="I95" s="9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3:27" s="7" customFormat="1" x14ac:dyDescent="0.25">
      <c r="C96" s="8"/>
      <c r="D96" s="115"/>
      <c r="E96" s="115"/>
      <c r="G96" s="116"/>
      <c r="H96" s="9"/>
      <c r="I96" s="9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3:27" s="7" customFormat="1" x14ac:dyDescent="0.25">
      <c r="C97" s="8"/>
      <c r="D97" s="115"/>
      <c r="E97" s="115"/>
      <c r="G97" s="116"/>
      <c r="H97" s="9"/>
      <c r="I97" s="9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3:27" s="7" customFormat="1" x14ac:dyDescent="0.25">
      <c r="C98" s="8"/>
      <c r="D98" s="115"/>
      <c r="E98" s="115"/>
      <c r="G98" s="116"/>
      <c r="H98" s="9"/>
      <c r="I98" s="9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3:27" s="7" customFormat="1" x14ac:dyDescent="0.25">
      <c r="C99" s="8"/>
      <c r="D99" s="115"/>
      <c r="E99" s="115"/>
      <c r="G99" s="116"/>
      <c r="H99" s="9"/>
      <c r="I99" s="9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pans="3:27" s="7" customFormat="1" x14ac:dyDescent="0.25">
      <c r="C100" s="8"/>
      <c r="D100" s="115"/>
      <c r="E100" s="115"/>
      <c r="G100" s="116"/>
      <c r="H100" s="9"/>
      <c r="I100" s="9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spans="3:27" s="7" customFormat="1" x14ac:dyDescent="0.25">
      <c r="C101" s="8"/>
      <c r="D101" s="115"/>
      <c r="E101" s="115"/>
      <c r="G101" s="116"/>
      <c r="H101" s="9"/>
      <c r="I101" s="9"/>
      <c r="M101" s="3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spans="3:27" s="7" customFormat="1" x14ac:dyDescent="0.25">
      <c r="C102" s="8"/>
      <c r="D102" s="115"/>
      <c r="E102" s="115"/>
      <c r="G102" s="116"/>
      <c r="H102" s="9"/>
      <c r="I102" s="9"/>
      <c r="M102" s="3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spans="3:27" s="7" customFormat="1" x14ac:dyDescent="0.25">
      <c r="C103" s="8"/>
      <c r="D103" s="115"/>
      <c r="E103" s="115"/>
      <c r="G103" s="116"/>
      <c r="H103" s="9"/>
      <c r="I103" s="9"/>
      <c r="M103" s="3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spans="3:27" s="7" customFormat="1" x14ac:dyDescent="0.25">
      <c r="C104" s="8"/>
      <c r="D104" s="115"/>
      <c r="E104" s="115"/>
      <c r="G104" s="116"/>
      <c r="H104" s="9"/>
      <c r="I104" s="9"/>
      <c r="M104" s="3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spans="3:27" s="7" customFormat="1" x14ac:dyDescent="0.25">
      <c r="C105" s="8"/>
      <c r="D105" s="115"/>
      <c r="E105" s="115"/>
      <c r="G105" s="116"/>
      <c r="H105" s="9"/>
      <c r="I105" s="9"/>
      <c r="M105" s="3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spans="3:27" s="7" customFormat="1" x14ac:dyDescent="0.25">
      <c r="C106" s="8"/>
      <c r="D106" s="115"/>
      <c r="E106" s="115"/>
      <c r="G106" s="116"/>
      <c r="H106" s="9"/>
      <c r="I106" s="9"/>
      <c r="M106" s="3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spans="3:27" s="7" customFormat="1" x14ac:dyDescent="0.25">
      <c r="C107" s="8"/>
      <c r="D107" s="115"/>
      <c r="E107" s="115"/>
      <c r="G107" s="116"/>
      <c r="H107" s="9"/>
      <c r="I107" s="9"/>
      <c r="M107" s="3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spans="3:27" x14ac:dyDescent="0.25">
      <c r="D108" s="117"/>
      <c r="E108" s="117"/>
      <c r="G108" s="118"/>
    </row>
    <row r="109" spans="3:27" x14ac:dyDescent="0.25">
      <c r="D109" s="117"/>
      <c r="E109" s="117"/>
      <c r="G109" s="118"/>
    </row>
    <row r="110" spans="3:27" x14ac:dyDescent="0.25">
      <c r="D110" s="117"/>
      <c r="E110" s="117"/>
      <c r="G110" s="118"/>
    </row>
    <row r="111" spans="3:27" x14ac:dyDescent="0.25">
      <c r="D111" s="117"/>
      <c r="E111" s="117"/>
      <c r="G111" s="118"/>
    </row>
    <row r="112" spans="3:27" x14ac:dyDescent="0.25">
      <c r="D112" s="117"/>
      <c r="E112" s="117"/>
      <c r="G112" s="118"/>
    </row>
    <row r="113" spans="4:7" x14ac:dyDescent="0.25">
      <c r="D113" s="117"/>
      <c r="E113" s="117"/>
      <c r="G113" s="118"/>
    </row>
    <row r="114" spans="4:7" x14ac:dyDescent="0.25">
      <c r="D114" s="117"/>
      <c r="E114" s="117"/>
      <c r="G114" s="118"/>
    </row>
    <row r="115" spans="4:7" x14ac:dyDescent="0.25">
      <c r="D115" s="117"/>
      <c r="E115" s="117"/>
      <c r="G115" s="118"/>
    </row>
    <row r="116" spans="4:7" x14ac:dyDescent="0.25">
      <c r="D116" s="117"/>
      <c r="E116" s="117"/>
      <c r="G116" s="118"/>
    </row>
    <row r="117" spans="4:7" x14ac:dyDescent="0.25">
      <c r="D117" s="117"/>
      <c r="E117" s="117"/>
      <c r="G117" s="118"/>
    </row>
    <row r="118" spans="4:7" x14ac:dyDescent="0.25">
      <c r="D118" s="117"/>
      <c r="E118" s="117"/>
      <c r="G118" s="118"/>
    </row>
    <row r="119" spans="4:7" x14ac:dyDescent="0.25">
      <c r="D119" s="117"/>
      <c r="E119" s="117"/>
      <c r="G119" s="118"/>
    </row>
    <row r="120" spans="4:7" x14ac:dyDescent="0.25">
      <c r="D120" s="117"/>
      <c r="E120" s="117"/>
      <c r="G120" s="118"/>
    </row>
  </sheetData>
  <mergeCells count="2">
    <mergeCell ref="A1:L1"/>
    <mergeCell ref="B3:L3"/>
  </mergeCells>
  <pageMargins left="0.67013888888888895" right="0" top="0.27569444444444402" bottom="0.23611111111111099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zoomScale="90" zoomScaleNormal="90" workbookViewId="0">
      <selection activeCell="N5" sqref="N5"/>
    </sheetView>
  </sheetViews>
  <sheetFormatPr defaultColWidth="9" defaultRowHeight="15" customHeight="1" x14ac:dyDescent="0.25"/>
  <cols>
    <col min="1" max="1" width="3.85546875" style="3" customWidth="1"/>
    <col min="2" max="2" width="10.140625" style="3" customWidth="1"/>
    <col min="3" max="3" width="55.5703125" style="4" customWidth="1"/>
    <col min="4" max="4" width="15.28515625" style="3" customWidth="1"/>
    <col min="5" max="5" width="13.28515625" style="3" customWidth="1"/>
    <col min="6" max="6" width="16.7109375" style="5" customWidth="1"/>
    <col min="7" max="7" width="11.140625" style="5" customWidth="1"/>
    <col min="8" max="8" width="15.42578125" style="5" customWidth="1"/>
    <col min="9" max="9" width="16.140625" style="5" customWidth="1"/>
    <col min="10" max="10" width="15.85546875" style="5" customWidth="1"/>
    <col min="11" max="11" width="12.7109375" style="3" customWidth="1"/>
    <col min="12" max="12" width="17.85546875" style="3" customWidth="1"/>
    <col min="13" max="13" width="16.85546875" style="3" hidden="1" customWidth="1"/>
    <col min="14" max="14" width="15.28515625" style="3" customWidth="1"/>
    <col min="15" max="20" width="9" style="3"/>
    <col min="21" max="21" width="10.140625" style="3" customWidth="1"/>
    <col min="22" max="16384" width="9" style="3"/>
  </cols>
  <sheetData>
    <row r="1" spans="1:17" ht="18.75" x14ac:dyDescent="0.3">
      <c r="A1" s="2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4.25" customHeight="1" x14ac:dyDescent="0.25">
      <c r="A2" s="7"/>
      <c r="B2" s="7"/>
      <c r="C2" s="8"/>
      <c r="D2" s="7"/>
      <c r="E2" s="7"/>
      <c r="F2" s="9"/>
      <c r="G2" s="9"/>
      <c r="H2" s="9"/>
      <c r="I2" s="9"/>
      <c r="J2" s="9" t="s">
        <v>78</v>
      </c>
      <c r="K2" s="7"/>
      <c r="L2" s="7"/>
    </row>
    <row r="3" spans="1:17" ht="15.75" x14ac:dyDescent="0.25">
      <c r="A3" s="7"/>
      <c r="B3" s="1" t="s">
        <v>134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ht="14.25" x14ac:dyDescent="0.2">
      <c r="A4" s="7"/>
      <c r="B4" s="7"/>
      <c r="C4" s="10"/>
      <c r="D4" s="11"/>
      <c r="E4" s="7"/>
      <c r="F4" s="9"/>
      <c r="G4" s="9"/>
      <c r="H4" s="9"/>
      <c r="I4" s="9"/>
      <c r="J4" s="119" t="s">
        <v>2</v>
      </c>
      <c r="K4" s="7"/>
      <c r="L4" s="7"/>
    </row>
    <row r="5" spans="1:17" s="8" customFormat="1" ht="60" x14ac:dyDescent="0.25">
      <c r="A5" s="12" t="s">
        <v>3</v>
      </c>
      <c r="B5" s="13"/>
      <c r="C5" s="14" t="s">
        <v>4</v>
      </c>
      <c r="D5" s="120" t="s">
        <v>93</v>
      </c>
      <c r="E5" s="120" t="s">
        <v>94</v>
      </c>
      <c r="F5" s="17" t="s">
        <v>95</v>
      </c>
      <c r="G5" s="15" t="s">
        <v>8</v>
      </c>
      <c r="H5" s="16" t="s">
        <v>96</v>
      </c>
      <c r="I5" s="12" t="s">
        <v>97</v>
      </c>
      <c r="J5" s="12" t="s">
        <v>11</v>
      </c>
      <c r="K5" s="12" t="s">
        <v>8</v>
      </c>
      <c r="L5" s="12" t="s">
        <v>98</v>
      </c>
    </row>
    <row r="6" spans="1:17" s="38" customFormat="1" x14ac:dyDescent="0.2">
      <c r="A6" s="25">
        <v>1</v>
      </c>
      <c r="B6" s="25">
        <v>2</v>
      </c>
      <c r="C6" s="26">
        <v>3</v>
      </c>
      <c r="D6" s="25">
        <v>4</v>
      </c>
      <c r="E6" s="25">
        <v>5</v>
      </c>
      <c r="F6" s="29">
        <v>6</v>
      </c>
      <c r="G6" s="27" t="s">
        <v>18</v>
      </c>
      <c r="H6" s="28" t="s">
        <v>19</v>
      </c>
      <c r="I6" s="121">
        <v>9</v>
      </c>
      <c r="J6" s="25">
        <v>10</v>
      </c>
      <c r="K6" s="30" t="s">
        <v>99</v>
      </c>
      <c r="L6" s="122" t="s">
        <v>100</v>
      </c>
    </row>
    <row r="7" spans="1:17" s="7" customFormat="1" ht="14.25" x14ac:dyDescent="0.2">
      <c r="A7" s="39">
        <v>1</v>
      </c>
      <c r="B7" s="40"/>
      <c r="C7" s="41" t="s">
        <v>27</v>
      </c>
      <c r="D7" s="40"/>
      <c r="E7" s="40"/>
      <c r="F7" s="45"/>
      <c r="G7" s="42"/>
      <c r="H7" s="42"/>
      <c r="I7" s="123"/>
      <c r="J7" s="45"/>
      <c r="K7" s="40"/>
      <c r="L7" s="40"/>
    </row>
    <row r="8" spans="1:17" s="7" customFormat="1" ht="18.75" x14ac:dyDescent="0.3">
      <c r="A8" s="25">
        <f t="shared" ref="A8:A32" si="0">A7+1</f>
        <v>2</v>
      </c>
      <c r="B8" s="39">
        <v>11010000</v>
      </c>
      <c r="C8" s="13" t="s">
        <v>101</v>
      </c>
      <c r="D8" s="49">
        <f>1980000+41600+118345.8+47088.898</f>
        <v>2187034.6979999999</v>
      </c>
      <c r="E8" s="49">
        <f>160200+47088.898</f>
        <v>207288.89799999999</v>
      </c>
      <c r="F8" s="89">
        <v>175873.08215</v>
      </c>
      <c r="G8" s="59">
        <f t="shared" ref="G8:G22" si="1">F8/E8*100</f>
        <v>84.844429126156101</v>
      </c>
      <c r="H8" s="124">
        <f t="shared" ref="H8:H37" si="2">F8-E8</f>
        <v>-31415.815849999984</v>
      </c>
      <c r="I8" s="49">
        <f>1253905.8+47088.898</f>
        <v>1300994.6980000001</v>
      </c>
      <c r="J8" s="89">
        <v>1315425.0470100001</v>
      </c>
      <c r="K8" s="53">
        <f t="shared" ref="K8:K29" si="3">J8/I8*100</f>
        <v>101.10917815669684</v>
      </c>
      <c r="L8" s="125">
        <f t="shared" ref="L8:L37" si="4">J8-I8</f>
        <v>14430.349010000005</v>
      </c>
      <c r="M8" s="7">
        <v>37</v>
      </c>
    </row>
    <row r="9" spans="1:17" s="7" customFormat="1" ht="18.75" x14ac:dyDescent="0.3">
      <c r="A9" s="25">
        <f t="shared" si="0"/>
        <v>3</v>
      </c>
      <c r="B9" s="39">
        <v>11020202</v>
      </c>
      <c r="C9" s="13" t="s">
        <v>29</v>
      </c>
      <c r="D9" s="49">
        <f>1500+8600+500</f>
        <v>10600</v>
      </c>
      <c r="E9" s="49">
        <v>500</v>
      </c>
      <c r="F9" s="89">
        <v>27.47786</v>
      </c>
      <c r="G9" s="59">
        <f t="shared" si="1"/>
        <v>5.4955720000000001</v>
      </c>
      <c r="H9" s="124">
        <f t="shared" si="2"/>
        <v>-472.52213999999998</v>
      </c>
      <c r="I9" s="49">
        <f>750+8600+500</f>
        <v>9850</v>
      </c>
      <c r="J9" s="89">
        <v>9918.0108899999996</v>
      </c>
      <c r="K9" s="53">
        <f t="shared" si="3"/>
        <v>100.69046588832487</v>
      </c>
      <c r="L9" s="125">
        <f t="shared" si="4"/>
        <v>68.010889999999563</v>
      </c>
    </row>
    <row r="10" spans="1:17" s="7" customFormat="1" ht="20.25" customHeight="1" x14ac:dyDescent="0.3">
      <c r="A10" s="25">
        <f t="shared" si="0"/>
        <v>4</v>
      </c>
      <c r="B10" s="39">
        <v>13000000</v>
      </c>
      <c r="C10" s="126" t="s">
        <v>30</v>
      </c>
      <c r="D10" s="49">
        <v>1800</v>
      </c>
      <c r="E10" s="49">
        <v>4</v>
      </c>
      <c r="F10" s="83">
        <f>1.282+1.88199</f>
        <v>3.1639900000000001</v>
      </c>
      <c r="G10" s="59">
        <f t="shared" si="1"/>
        <v>79.09975</v>
      </c>
      <c r="H10" s="124">
        <f t="shared" si="2"/>
        <v>-0.83600999999999992</v>
      </c>
      <c r="I10" s="49">
        <v>817</v>
      </c>
      <c r="J10" s="83">
        <f>6.13627+741.38601+109.4157</f>
        <v>856.93798000000004</v>
      </c>
      <c r="K10" s="53">
        <f t="shared" si="3"/>
        <v>104.88836964504284</v>
      </c>
      <c r="L10" s="125">
        <f t="shared" si="4"/>
        <v>39.937980000000039</v>
      </c>
    </row>
    <row r="11" spans="1:17" s="7" customFormat="1" ht="18.75" x14ac:dyDescent="0.3">
      <c r="A11" s="25">
        <f t="shared" si="0"/>
        <v>5</v>
      </c>
      <c r="B11" s="39">
        <v>14000000</v>
      </c>
      <c r="C11" s="13" t="s">
        <v>31</v>
      </c>
      <c r="D11" s="49">
        <f>13000+82860.7+3500+7900+4250</f>
        <v>111510.7</v>
      </c>
      <c r="E11" s="49">
        <f>1460+6500+4250</f>
        <v>12210</v>
      </c>
      <c r="F11" s="83">
        <f>1410.29941+12116.8013</f>
        <v>13527.100709999999</v>
      </c>
      <c r="G11" s="59">
        <f t="shared" si="1"/>
        <v>110.78706560196558</v>
      </c>
      <c r="H11" s="124">
        <f t="shared" si="2"/>
        <v>1317.1007099999988</v>
      </c>
      <c r="I11" s="49">
        <f>11010+55060.7+4250</f>
        <v>70320.7</v>
      </c>
      <c r="J11" s="83">
        <f>11672.83927+64222.50924</f>
        <v>75895.348509999996</v>
      </c>
      <c r="K11" s="53">
        <f t="shared" si="3"/>
        <v>107.92746447347652</v>
      </c>
      <c r="L11" s="125">
        <f t="shared" si="4"/>
        <v>5574.6485099999991</v>
      </c>
      <c r="M11" s="7">
        <v>2.2000000000000002</v>
      </c>
    </row>
    <row r="12" spans="1:17" s="7" customFormat="1" ht="19.5" customHeight="1" x14ac:dyDescent="0.3">
      <c r="A12" s="25">
        <f t="shared" si="0"/>
        <v>6</v>
      </c>
      <c r="B12" s="127">
        <v>14040100</v>
      </c>
      <c r="C12" s="58" t="s">
        <v>102</v>
      </c>
      <c r="D12" s="49">
        <f>75500+2100+2400</f>
        <v>80000</v>
      </c>
      <c r="E12" s="49">
        <f>6500+2400</f>
        <v>8900</v>
      </c>
      <c r="F12" s="83">
        <v>14732.94131</v>
      </c>
      <c r="G12" s="59">
        <f t="shared" si="1"/>
        <v>165.53866640449439</v>
      </c>
      <c r="H12" s="124">
        <f t="shared" si="2"/>
        <v>5832.9413100000002</v>
      </c>
      <c r="I12" s="49">
        <f>46000+2400</f>
        <v>48400</v>
      </c>
      <c r="J12" s="83">
        <v>56645.500789999998</v>
      </c>
      <c r="K12" s="53">
        <f t="shared" si="3"/>
        <v>117.03615865702479</v>
      </c>
      <c r="L12" s="125">
        <f t="shared" si="4"/>
        <v>8245.5007899999982</v>
      </c>
      <c r="M12" s="7">
        <v>4.5</v>
      </c>
    </row>
    <row r="13" spans="1:17" s="7" customFormat="1" ht="20.25" customHeight="1" x14ac:dyDescent="0.3">
      <c r="A13" s="25">
        <f t="shared" si="0"/>
        <v>7</v>
      </c>
      <c r="B13" s="127">
        <v>14040200</v>
      </c>
      <c r="C13" s="86" t="s">
        <v>103</v>
      </c>
      <c r="D13" s="49">
        <f>77000+3000+1300</f>
        <v>81300</v>
      </c>
      <c r="E13" s="49">
        <f>6450+1300</f>
        <v>7750</v>
      </c>
      <c r="F13" s="83">
        <v>5961.7077099999997</v>
      </c>
      <c r="G13" s="59">
        <f t="shared" si="1"/>
        <v>76.925260774193546</v>
      </c>
      <c r="H13" s="124">
        <f t="shared" si="2"/>
        <v>-1788.2922900000003</v>
      </c>
      <c r="I13" s="49">
        <f>47800+1300</f>
        <v>49100</v>
      </c>
      <c r="J13" s="83">
        <v>48618.245519999997</v>
      </c>
      <c r="K13" s="53">
        <f t="shared" si="3"/>
        <v>99.018829979633395</v>
      </c>
      <c r="L13" s="125">
        <f t="shared" si="4"/>
        <v>-481.75448000000324</v>
      </c>
    </row>
    <row r="14" spans="1:17" s="7" customFormat="1" ht="18.75" x14ac:dyDescent="0.3">
      <c r="A14" s="25">
        <f t="shared" si="0"/>
        <v>8</v>
      </c>
      <c r="B14" s="39">
        <v>18000000</v>
      </c>
      <c r="C14" s="58" t="s">
        <v>33</v>
      </c>
      <c r="D14" s="49">
        <f>D15+D20+D21+D22</f>
        <v>867029.3</v>
      </c>
      <c r="E14" s="49">
        <f>E15+E20+E21+E22</f>
        <v>91152</v>
      </c>
      <c r="F14" s="89">
        <f>F15+F20+F21+F22</f>
        <v>82753.911209999991</v>
      </c>
      <c r="G14" s="59">
        <f t="shared" si="1"/>
        <v>90.786720214586609</v>
      </c>
      <c r="H14" s="124">
        <f t="shared" si="2"/>
        <v>-8398.0887900000089</v>
      </c>
      <c r="I14" s="49">
        <f>I15+I20+I21+I22</f>
        <v>517216.5</v>
      </c>
      <c r="J14" s="89">
        <f>J15+J20+J21+J22</f>
        <v>517474.90888</v>
      </c>
      <c r="K14" s="53">
        <f t="shared" si="3"/>
        <v>100.04996145327925</v>
      </c>
      <c r="L14" s="125">
        <f t="shared" si="4"/>
        <v>258.40888000000268</v>
      </c>
    </row>
    <row r="15" spans="1:17" s="7" customFormat="1" ht="18.75" x14ac:dyDescent="0.3">
      <c r="A15" s="25">
        <f t="shared" si="0"/>
        <v>9</v>
      </c>
      <c r="B15" s="60">
        <v>18010000</v>
      </c>
      <c r="C15" s="61" t="s">
        <v>34</v>
      </c>
      <c r="D15" s="49">
        <f>D16+D17+D18+D19</f>
        <v>281687</v>
      </c>
      <c r="E15" s="49">
        <f>E16+E17+E18+E19</f>
        <v>32685</v>
      </c>
      <c r="F15" s="49">
        <f>F16+F17+F18+F19</f>
        <v>29033.514609999998</v>
      </c>
      <c r="G15" s="59">
        <f t="shared" si="1"/>
        <v>88.828253357809388</v>
      </c>
      <c r="H15" s="124">
        <f t="shared" si="2"/>
        <v>-3651.4853900000016</v>
      </c>
      <c r="I15" s="128">
        <f>I16+I17+I18+I19</f>
        <v>168819.5</v>
      </c>
      <c r="J15" s="49">
        <f>J16+J17+J18+J19</f>
        <v>170240.03904</v>
      </c>
      <c r="K15" s="53">
        <f t="shared" si="3"/>
        <v>100.84145435805698</v>
      </c>
      <c r="L15" s="125">
        <f t="shared" si="4"/>
        <v>1420.5390400000033</v>
      </c>
      <c r="Q15" s="7" t="s">
        <v>78</v>
      </c>
    </row>
    <row r="16" spans="1:17" s="7" customFormat="1" ht="20.25" customHeight="1" x14ac:dyDescent="0.3">
      <c r="A16" s="25">
        <f t="shared" si="0"/>
        <v>10</v>
      </c>
      <c r="B16" s="39"/>
      <c r="C16" s="61" t="s">
        <v>35</v>
      </c>
      <c r="D16" s="49">
        <f>580+24000</f>
        <v>24580</v>
      </c>
      <c r="E16" s="49">
        <f>135+2500</f>
        <v>2635</v>
      </c>
      <c r="F16" s="83">
        <f>181.04946+2238.65181</f>
        <v>2419.70127</v>
      </c>
      <c r="G16" s="59">
        <f t="shared" si="1"/>
        <v>91.829270208728659</v>
      </c>
      <c r="H16" s="124">
        <f t="shared" si="2"/>
        <v>-215.29872999999998</v>
      </c>
      <c r="I16" s="49">
        <f>380+10900</f>
        <v>11280</v>
      </c>
      <c r="J16" s="83">
        <f>453.97061+12184.254</f>
        <v>12638.224610000001</v>
      </c>
      <c r="K16" s="53">
        <f t="shared" si="3"/>
        <v>112.04099831560286</v>
      </c>
      <c r="L16" s="125">
        <f t="shared" si="4"/>
        <v>1358.2246100000011</v>
      </c>
      <c r="M16" s="7">
        <v>0.5</v>
      </c>
    </row>
    <row r="17" spans="1:14" s="7" customFormat="1" ht="19.5" customHeight="1" x14ac:dyDescent="0.3">
      <c r="A17" s="25">
        <f t="shared" si="0"/>
        <v>11</v>
      </c>
      <c r="B17" s="39"/>
      <c r="C17" s="61" t="s">
        <v>36</v>
      </c>
      <c r="D17" s="49">
        <f>23000+51145</f>
        <v>74145</v>
      </c>
      <c r="E17" s="49">
        <f>2500+10300</f>
        <v>12800</v>
      </c>
      <c r="F17" s="83">
        <f>1888.70459+11510.9469</f>
        <v>13399.65149</v>
      </c>
      <c r="G17" s="59">
        <f t="shared" si="1"/>
        <v>104.684777265625</v>
      </c>
      <c r="H17" s="124">
        <f t="shared" si="2"/>
        <v>599.65149000000019</v>
      </c>
      <c r="I17" s="49">
        <f>12100+36400</f>
        <v>48500</v>
      </c>
      <c r="J17" s="83">
        <f>11689.94595+38426.82569</f>
        <v>50116.771639999999</v>
      </c>
      <c r="K17" s="53">
        <f t="shared" si="3"/>
        <v>103.33354977319587</v>
      </c>
      <c r="L17" s="125">
        <f t="shared" si="4"/>
        <v>1616.771639999999</v>
      </c>
      <c r="M17" s="7">
        <v>4.5</v>
      </c>
    </row>
    <row r="18" spans="1:14" s="7" customFormat="1" ht="18.75" x14ac:dyDescent="0.3">
      <c r="A18" s="25">
        <f t="shared" si="0"/>
        <v>12</v>
      </c>
      <c r="B18" s="39"/>
      <c r="C18" s="62" t="s">
        <v>37</v>
      </c>
      <c r="D18" s="49">
        <f>94000+63700+6200+13000+4662</f>
        <v>181562</v>
      </c>
      <c r="E18" s="49">
        <v>17050</v>
      </c>
      <c r="F18" s="83">
        <v>13032.57085</v>
      </c>
      <c r="G18" s="59">
        <f t="shared" si="1"/>
        <v>76.437365689149559</v>
      </c>
      <c r="H18" s="124">
        <f t="shared" si="2"/>
        <v>-4017.4291499999999</v>
      </c>
      <c r="I18" s="49">
        <v>108312</v>
      </c>
      <c r="J18" s="83">
        <v>106505.62204</v>
      </c>
      <c r="K18" s="53">
        <f t="shared" si="3"/>
        <v>98.332245771475002</v>
      </c>
      <c r="L18" s="125">
        <f t="shared" si="4"/>
        <v>-1806.377959999998</v>
      </c>
      <c r="M18" s="7">
        <v>6</v>
      </c>
    </row>
    <row r="19" spans="1:14" s="7" customFormat="1" ht="18.75" x14ac:dyDescent="0.3">
      <c r="A19" s="25">
        <f t="shared" si="0"/>
        <v>13</v>
      </c>
      <c r="B19" s="39"/>
      <c r="C19" s="62" t="s">
        <v>38</v>
      </c>
      <c r="D19" s="49">
        <f>780+620</f>
        <v>1400</v>
      </c>
      <c r="E19" s="49">
        <f>80+120</f>
        <v>200</v>
      </c>
      <c r="F19" s="83">
        <v>181.59100000000001</v>
      </c>
      <c r="G19" s="59">
        <f t="shared" si="1"/>
        <v>90.795500000000004</v>
      </c>
      <c r="H19" s="124">
        <f t="shared" si="2"/>
        <v>-18.408999999999992</v>
      </c>
      <c r="I19" s="49">
        <f>370+357.5</f>
        <v>727.5</v>
      </c>
      <c r="J19" s="83">
        <v>979.42075</v>
      </c>
      <c r="K19" s="53">
        <f t="shared" si="3"/>
        <v>134.62828178694159</v>
      </c>
      <c r="L19" s="125">
        <f t="shared" si="4"/>
        <v>251.92075</v>
      </c>
      <c r="M19" s="40"/>
    </row>
    <row r="20" spans="1:14" s="7" customFormat="1" ht="18.75" x14ac:dyDescent="0.3">
      <c r="A20" s="25">
        <f t="shared" si="0"/>
        <v>14</v>
      </c>
      <c r="B20" s="60">
        <v>18020000</v>
      </c>
      <c r="C20" s="62" t="s">
        <v>39</v>
      </c>
      <c r="D20" s="49">
        <v>380</v>
      </c>
      <c r="E20" s="49">
        <v>32</v>
      </c>
      <c r="F20" s="89">
        <v>35</v>
      </c>
      <c r="G20" s="59">
        <f t="shared" si="1"/>
        <v>109.375</v>
      </c>
      <c r="H20" s="124">
        <f t="shared" si="2"/>
        <v>3</v>
      </c>
      <c r="I20" s="49">
        <v>220</v>
      </c>
      <c r="J20" s="89">
        <v>225.86</v>
      </c>
      <c r="K20" s="53">
        <f t="shared" si="3"/>
        <v>102.66363636363639</v>
      </c>
      <c r="L20" s="125">
        <f t="shared" si="4"/>
        <v>5.8600000000000136</v>
      </c>
      <c r="M20" s="40"/>
    </row>
    <row r="21" spans="1:14" s="7" customFormat="1" ht="18.75" x14ac:dyDescent="0.3">
      <c r="A21" s="25">
        <f t="shared" si="0"/>
        <v>15</v>
      </c>
      <c r="B21" s="60">
        <v>18030000</v>
      </c>
      <c r="C21" s="62" t="s">
        <v>40</v>
      </c>
      <c r="D21" s="49">
        <v>1800</v>
      </c>
      <c r="E21" s="49">
        <v>235</v>
      </c>
      <c r="F21" s="89">
        <v>249.42223999999999</v>
      </c>
      <c r="G21" s="59">
        <f t="shared" si="1"/>
        <v>106.13712340425532</v>
      </c>
      <c r="H21" s="124">
        <f t="shared" si="2"/>
        <v>14.422239999999988</v>
      </c>
      <c r="I21" s="49">
        <v>1142</v>
      </c>
      <c r="J21" s="89">
        <v>1318.12255</v>
      </c>
      <c r="K21" s="53">
        <f t="shared" si="3"/>
        <v>115.42228984238179</v>
      </c>
      <c r="L21" s="125">
        <f t="shared" si="4"/>
        <v>176.12255000000005</v>
      </c>
      <c r="M21" s="40">
        <v>7</v>
      </c>
    </row>
    <row r="22" spans="1:14" s="7" customFormat="1" ht="18.75" x14ac:dyDescent="0.3">
      <c r="A22" s="25">
        <f t="shared" si="0"/>
        <v>16</v>
      </c>
      <c r="B22" s="60">
        <v>18050000</v>
      </c>
      <c r="C22" s="62" t="s">
        <v>41</v>
      </c>
      <c r="D22" s="49">
        <f>559762.3+20000+3400</f>
        <v>583162.30000000005</v>
      </c>
      <c r="E22" s="49">
        <f>54800+3400</f>
        <v>58200</v>
      </c>
      <c r="F22" s="89">
        <v>53435.97436</v>
      </c>
      <c r="G22" s="59">
        <f t="shared" si="1"/>
        <v>91.814388934707907</v>
      </c>
      <c r="H22" s="124">
        <f t="shared" si="2"/>
        <v>-4764.0256399999998</v>
      </c>
      <c r="I22" s="49">
        <f>343635+3400</f>
        <v>347035</v>
      </c>
      <c r="J22" s="89">
        <v>345690.88728999998</v>
      </c>
      <c r="K22" s="53">
        <f t="shared" si="3"/>
        <v>99.612686700188732</v>
      </c>
      <c r="L22" s="125">
        <f t="shared" si="4"/>
        <v>-1344.1127100000158</v>
      </c>
    </row>
    <row r="23" spans="1:14" s="7" customFormat="1" ht="17.25" customHeight="1" x14ac:dyDescent="0.3">
      <c r="A23" s="25">
        <f t="shared" si="0"/>
        <v>17</v>
      </c>
      <c r="B23" s="39">
        <v>21010302</v>
      </c>
      <c r="C23" s="63" t="s">
        <v>42</v>
      </c>
      <c r="D23" s="49">
        <v>700</v>
      </c>
      <c r="E23" s="49"/>
      <c r="F23" s="89">
        <v>152.65700000000001</v>
      </c>
      <c r="G23" s="59"/>
      <c r="H23" s="124">
        <f t="shared" si="2"/>
        <v>152.65700000000001</v>
      </c>
      <c r="I23" s="49">
        <v>260</v>
      </c>
      <c r="J23" s="89">
        <v>702.38788</v>
      </c>
      <c r="K23" s="53">
        <f t="shared" si="3"/>
        <v>270.14918461538457</v>
      </c>
      <c r="L23" s="125">
        <f t="shared" si="4"/>
        <v>442.38788</v>
      </c>
    </row>
    <row r="24" spans="1:14" s="7" customFormat="1" ht="19.5" customHeight="1" x14ac:dyDescent="0.3">
      <c r="A24" s="25">
        <f t="shared" si="0"/>
        <v>18</v>
      </c>
      <c r="B24" s="39">
        <v>21080000</v>
      </c>
      <c r="C24" s="63" t="s">
        <v>44</v>
      </c>
      <c r="D24" s="49">
        <v>24650</v>
      </c>
      <c r="E24" s="49">
        <f>1800+410+50</f>
        <v>2260</v>
      </c>
      <c r="F24" s="89">
        <f>49.84717+861.01438+165.31343</f>
        <v>1076.17498</v>
      </c>
      <c r="G24" s="59">
        <f t="shared" ref="G24:G29" si="5">F24/E24*100</f>
        <v>47.618361946902652</v>
      </c>
      <c r="H24" s="124">
        <f t="shared" si="2"/>
        <v>-1183.82502</v>
      </c>
      <c r="I24" s="49">
        <f>12000+1790+350</f>
        <v>14140</v>
      </c>
      <c r="J24" s="89">
        <f>376.02572+7960.66866+1770.92379</f>
        <v>10107.618170000002</v>
      </c>
      <c r="K24" s="53">
        <f t="shared" si="3"/>
        <v>71.482448161244704</v>
      </c>
      <c r="L24" s="125">
        <f t="shared" si="4"/>
        <v>-4032.3818299999984</v>
      </c>
      <c r="M24" s="7">
        <v>0.5</v>
      </c>
    </row>
    <row r="25" spans="1:14" s="7" customFormat="1" ht="37.5" customHeight="1" x14ac:dyDescent="0.3">
      <c r="A25" s="25">
        <f t="shared" si="0"/>
        <v>19</v>
      </c>
      <c r="B25" s="39">
        <v>22010300</v>
      </c>
      <c r="C25" s="65" t="s">
        <v>104</v>
      </c>
      <c r="D25" s="49">
        <v>1000</v>
      </c>
      <c r="E25" s="49">
        <v>85</v>
      </c>
      <c r="F25" s="89">
        <v>71.08</v>
      </c>
      <c r="G25" s="59">
        <f t="shared" si="5"/>
        <v>83.623529411764707</v>
      </c>
      <c r="H25" s="124">
        <f t="shared" si="2"/>
        <v>-13.920000000000002</v>
      </c>
      <c r="I25" s="49">
        <v>585</v>
      </c>
      <c r="J25" s="89">
        <v>600.58100000000002</v>
      </c>
      <c r="K25" s="53">
        <f t="shared" si="3"/>
        <v>102.66341880341881</v>
      </c>
      <c r="L25" s="125">
        <f t="shared" si="4"/>
        <v>15.581000000000017</v>
      </c>
    </row>
    <row r="26" spans="1:14" s="7" customFormat="1" ht="19.5" customHeight="1" x14ac:dyDescent="0.3">
      <c r="A26" s="25">
        <f t="shared" si="0"/>
        <v>20</v>
      </c>
      <c r="B26" s="39">
        <v>22012500</v>
      </c>
      <c r="C26" s="63" t="s">
        <v>46</v>
      </c>
      <c r="D26" s="49">
        <v>17000</v>
      </c>
      <c r="E26" s="49">
        <v>1500</v>
      </c>
      <c r="F26" s="89">
        <v>1916.3282899999999</v>
      </c>
      <c r="G26" s="59">
        <f t="shared" si="5"/>
        <v>127.75521933333334</v>
      </c>
      <c r="H26" s="124">
        <f t="shared" si="2"/>
        <v>416.32828999999992</v>
      </c>
      <c r="I26" s="49">
        <v>10400</v>
      </c>
      <c r="J26" s="89">
        <v>9910.8514599999999</v>
      </c>
      <c r="K26" s="53">
        <f t="shared" si="3"/>
        <v>95.296648653846148</v>
      </c>
      <c r="L26" s="125">
        <f t="shared" si="4"/>
        <v>-489.14854000000014</v>
      </c>
      <c r="M26" s="7">
        <v>0.3</v>
      </c>
    </row>
    <row r="27" spans="1:14" s="7" customFormat="1" ht="32.25" customHeight="1" x14ac:dyDescent="0.3">
      <c r="A27" s="25">
        <f t="shared" si="0"/>
        <v>21</v>
      </c>
      <c r="B27" s="39">
        <v>22012600</v>
      </c>
      <c r="C27" s="65" t="s">
        <v>47</v>
      </c>
      <c r="D27" s="49">
        <v>1000</v>
      </c>
      <c r="E27" s="49">
        <v>75</v>
      </c>
      <c r="F27" s="89">
        <v>57.490839999999999</v>
      </c>
      <c r="G27" s="59">
        <f t="shared" si="5"/>
        <v>76.654453333333322</v>
      </c>
      <c r="H27" s="124">
        <f t="shared" si="2"/>
        <v>-17.509160000000001</v>
      </c>
      <c r="I27" s="49">
        <v>625</v>
      </c>
      <c r="J27" s="89">
        <v>441.36851999999999</v>
      </c>
      <c r="K27" s="53">
        <f t="shared" si="3"/>
        <v>70.618963199999996</v>
      </c>
      <c r="L27" s="125">
        <f t="shared" si="4"/>
        <v>-183.63148000000001</v>
      </c>
    </row>
    <row r="28" spans="1:14" s="7" customFormat="1" ht="34.5" customHeight="1" x14ac:dyDescent="0.3">
      <c r="A28" s="25">
        <f t="shared" si="0"/>
        <v>22</v>
      </c>
      <c r="B28" s="39">
        <v>22012900</v>
      </c>
      <c r="C28" s="129" t="s">
        <v>105</v>
      </c>
      <c r="D28" s="49">
        <v>32</v>
      </c>
      <c r="E28" s="49">
        <v>3</v>
      </c>
      <c r="F28" s="89"/>
      <c r="G28" s="59">
        <f t="shared" si="5"/>
        <v>0</v>
      </c>
      <c r="H28" s="124">
        <f t="shared" si="2"/>
        <v>-3</v>
      </c>
      <c r="I28" s="49">
        <v>20</v>
      </c>
      <c r="J28" s="89">
        <v>53.923999999999999</v>
      </c>
      <c r="K28" s="53">
        <f t="shared" si="3"/>
        <v>269.62</v>
      </c>
      <c r="L28" s="125">
        <f t="shared" si="4"/>
        <v>33.923999999999999</v>
      </c>
    </row>
    <row r="29" spans="1:14" s="7" customFormat="1" ht="21.75" customHeight="1" x14ac:dyDescent="0.3">
      <c r="A29" s="25">
        <f t="shared" si="0"/>
        <v>23</v>
      </c>
      <c r="B29" s="39">
        <v>22080400</v>
      </c>
      <c r="C29" s="58" t="s">
        <v>49</v>
      </c>
      <c r="D29" s="49">
        <v>8500</v>
      </c>
      <c r="E29" s="67">
        <v>710</v>
      </c>
      <c r="F29" s="89">
        <v>474.07965000000002</v>
      </c>
      <c r="G29" s="59">
        <f t="shared" si="5"/>
        <v>66.771781690140855</v>
      </c>
      <c r="H29" s="124">
        <f t="shared" si="2"/>
        <v>-235.92034999999998</v>
      </c>
      <c r="I29" s="67">
        <v>4910</v>
      </c>
      <c r="J29" s="89">
        <v>4198.7407999999996</v>
      </c>
      <c r="K29" s="53">
        <f t="shared" si="3"/>
        <v>85.514069246435838</v>
      </c>
      <c r="L29" s="125">
        <f t="shared" si="4"/>
        <v>-711.25920000000042</v>
      </c>
      <c r="M29" s="7">
        <v>0.3</v>
      </c>
      <c r="N29" s="48"/>
    </row>
    <row r="30" spans="1:14" s="7" customFormat="1" ht="30" customHeight="1" x14ac:dyDescent="0.3">
      <c r="A30" s="25">
        <f t="shared" si="0"/>
        <v>24</v>
      </c>
      <c r="B30" s="39">
        <v>22020400</v>
      </c>
      <c r="C30" s="58" t="s">
        <v>106</v>
      </c>
      <c r="D30" s="67"/>
      <c r="E30" s="67"/>
      <c r="F30" s="89">
        <v>1331.25</v>
      </c>
      <c r="G30" s="59"/>
      <c r="H30" s="124">
        <f t="shared" si="2"/>
        <v>1331.25</v>
      </c>
      <c r="I30" s="67"/>
      <c r="J30" s="89">
        <v>1331.25</v>
      </c>
      <c r="K30" s="53"/>
      <c r="L30" s="125">
        <f t="shared" si="4"/>
        <v>1331.25</v>
      </c>
    </row>
    <row r="31" spans="1:14" s="7" customFormat="1" ht="18.75" x14ac:dyDescent="0.3">
      <c r="A31" s="25">
        <f t="shared" si="0"/>
        <v>25</v>
      </c>
      <c r="B31" s="39">
        <v>22090000</v>
      </c>
      <c r="C31" s="13" t="s">
        <v>50</v>
      </c>
      <c r="D31" s="49">
        <v>900</v>
      </c>
      <c r="E31" s="67">
        <v>82</v>
      </c>
      <c r="F31" s="89">
        <v>100.15331</v>
      </c>
      <c r="G31" s="59">
        <f>F31/E31*100</f>
        <v>122.13818292682927</v>
      </c>
      <c r="H31" s="124">
        <f t="shared" si="2"/>
        <v>18.153310000000005</v>
      </c>
      <c r="I31" s="67">
        <v>566.79999999999995</v>
      </c>
      <c r="J31" s="89">
        <v>600.20075999999995</v>
      </c>
      <c r="K31" s="53">
        <f>J31/I31*100</f>
        <v>105.89286520818631</v>
      </c>
      <c r="L31" s="125">
        <f t="shared" si="4"/>
        <v>33.400759999999991</v>
      </c>
    </row>
    <row r="32" spans="1:14" s="7" customFormat="1" ht="18.75" x14ac:dyDescent="0.3">
      <c r="A32" s="25">
        <f t="shared" si="0"/>
        <v>26</v>
      </c>
      <c r="B32" s="39">
        <v>24060300</v>
      </c>
      <c r="C32" s="13" t="s">
        <v>51</v>
      </c>
      <c r="D32" s="49">
        <f>27000+12800</f>
        <v>39800</v>
      </c>
      <c r="E32" s="67">
        <f>2500+12800</f>
        <v>15300</v>
      </c>
      <c r="F32" s="89">
        <v>2923.13391</v>
      </c>
      <c r="G32" s="59">
        <f>F32/E32*100</f>
        <v>19.105450392156865</v>
      </c>
      <c r="H32" s="124">
        <f t="shared" si="2"/>
        <v>-12376.86609</v>
      </c>
      <c r="I32" s="67">
        <f>17100+12800</f>
        <v>29900</v>
      </c>
      <c r="J32" s="89">
        <v>30324.89676</v>
      </c>
      <c r="K32" s="53">
        <f>J32/I32*100</f>
        <v>101.4210593979933</v>
      </c>
      <c r="L32" s="125">
        <f t="shared" si="4"/>
        <v>424.89675999999963</v>
      </c>
      <c r="M32" s="7">
        <v>1</v>
      </c>
    </row>
    <row r="33" spans="1:14" s="7" customFormat="1" ht="48" customHeight="1" x14ac:dyDescent="0.3">
      <c r="A33" s="25"/>
      <c r="B33" s="39">
        <v>24062200</v>
      </c>
      <c r="C33" s="130" t="s">
        <v>107</v>
      </c>
      <c r="D33" s="49"/>
      <c r="E33" s="67"/>
      <c r="F33" s="89"/>
      <c r="G33" s="59"/>
      <c r="H33" s="124">
        <f t="shared" si="2"/>
        <v>0</v>
      </c>
      <c r="I33" s="67"/>
      <c r="J33" s="89">
        <v>9.7255000000000003</v>
      </c>
      <c r="K33" s="53"/>
      <c r="L33" s="125">
        <f t="shared" si="4"/>
        <v>9.7255000000000003</v>
      </c>
    </row>
    <row r="34" spans="1:14" s="7" customFormat="1" ht="18.75" x14ac:dyDescent="0.3">
      <c r="A34" s="25">
        <f>A32+1</f>
        <v>27</v>
      </c>
      <c r="B34" s="39">
        <v>31010200</v>
      </c>
      <c r="C34" s="13" t="s">
        <v>108</v>
      </c>
      <c r="D34" s="67"/>
      <c r="E34" s="67"/>
      <c r="F34" s="89">
        <v>2</v>
      </c>
      <c r="G34" s="59"/>
      <c r="H34" s="124">
        <f t="shared" si="2"/>
        <v>2</v>
      </c>
      <c r="I34" s="67"/>
      <c r="J34" s="89">
        <v>11.5</v>
      </c>
      <c r="K34" s="53"/>
      <c r="L34" s="125">
        <f t="shared" si="4"/>
        <v>11.5</v>
      </c>
    </row>
    <row r="35" spans="1:14" s="7" customFormat="1" ht="30.75" x14ac:dyDescent="0.3">
      <c r="A35" s="25">
        <f>A33+1</f>
        <v>1</v>
      </c>
      <c r="B35" s="39">
        <v>31020000</v>
      </c>
      <c r="C35" s="130" t="s">
        <v>109</v>
      </c>
      <c r="D35" s="67"/>
      <c r="E35" s="67"/>
      <c r="F35" s="89"/>
      <c r="G35" s="59"/>
      <c r="H35" s="124">
        <f t="shared" si="2"/>
        <v>0</v>
      </c>
      <c r="I35" s="67"/>
      <c r="J35" s="89">
        <v>0.38019999999999998</v>
      </c>
      <c r="K35" s="53"/>
      <c r="L35" s="125">
        <f t="shared" si="4"/>
        <v>0.38019999999999998</v>
      </c>
    </row>
    <row r="36" spans="1:14" s="7" customFormat="1" ht="18.75" x14ac:dyDescent="0.3">
      <c r="A36" s="25">
        <f>A34+1</f>
        <v>28</v>
      </c>
      <c r="B36" s="39">
        <v>22130002</v>
      </c>
      <c r="C36" s="13" t="s">
        <v>110</v>
      </c>
      <c r="D36" s="67"/>
      <c r="E36" s="67"/>
      <c r="F36" s="89"/>
      <c r="G36" s="59"/>
      <c r="H36" s="124">
        <f t="shared" si="2"/>
        <v>0</v>
      </c>
      <c r="I36" s="67"/>
      <c r="J36" s="89"/>
      <c r="K36" s="53"/>
      <c r="L36" s="125">
        <f t="shared" si="4"/>
        <v>0</v>
      </c>
    </row>
    <row r="37" spans="1:14" s="7" customFormat="1" ht="27" customHeight="1" x14ac:dyDescent="0.3">
      <c r="A37" s="25">
        <f t="shared" ref="A37:A76" si="6">A36+1</f>
        <v>29</v>
      </c>
      <c r="B37" s="39"/>
      <c r="C37" s="131" t="s">
        <v>111</v>
      </c>
      <c r="D37" s="70">
        <f>D8+D9+D10+D11+D12+D13+D14+D24+D25+D26+D27+D29+D30+D31+D32+D28+D23+D33+D34+D35+D36</f>
        <v>3432856.6979999999</v>
      </c>
      <c r="E37" s="70">
        <f>E8+E9+E10+E11+E12+E13+E14+E24+E25+E26+E27+E29+E30+E31+E32+E28+E23+E33+E34+E35+E36</f>
        <v>347819.89799999999</v>
      </c>
      <c r="F37" s="70">
        <f>F8+F9+F10+F11+F12+F13+F14+F24+F25+F26+F27+F29+F30+F31+F32+F28+F23+F33+F34+F35+F36</f>
        <v>300983.73292000004</v>
      </c>
      <c r="G37" s="132">
        <f>F37/E37*100</f>
        <v>86.534362942053434</v>
      </c>
      <c r="H37" s="71">
        <f t="shared" si="2"/>
        <v>-46836.165079999948</v>
      </c>
      <c r="I37" s="70">
        <f>I8+I9+I10+I11+I12+I13+I14+I24+I25+I26+I27+I29+I30+I31+I32+I28+I23+I33+I34+I35+I36</f>
        <v>2058105.6980000001</v>
      </c>
      <c r="J37" s="70">
        <f>J8+J9+J10+J11+J12+J13+J14+J24+J25+J26+J27+J29+J30+J31+J32+J28+J23+J33+J34+J35+J36</f>
        <v>2083127.42463</v>
      </c>
      <c r="K37" s="73">
        <f>J37/I37*100</f>
        <v>101.21576489751305</v>
      </c>
      <c r="L37" s="133">
        <f t="shared" si="4"/>
        <v>25021.726629999932</v>
      </c>
      <c r="M37" s="48"/>
      <c r="N37" s="48"/>
    </row>
    <row r="38" spans="1:14" s="7" customFormat="1" ht="18.75" x14ac:dyDescent="0.3">
      <c r="A38" s="25">
        <f t="shared" si="6"/>
        <v>30</v>
      </c>
      <c r="B38" s="39"/>
      <c r="C38" s="69"/>
      <c r="D38" s="70"/>
      <c r="E38" s="70"/>
      <c r="F38" s="73"/>
      <c r="G38" s="71"/>
      <c r="H38" s="134"/>
      <c r="I38" s="70"/>
      <c r="J38" s="73"/>
      <c r="K38" s="53"/>
      <c r="L38" s="125"/>
    </row>
    <row r="39" spans="1:14" s="142" customFormat="1" ht="18.75" x14ac:dyDescent="0.3">
      <c r="A39" s="25">
        <f t="shared" si="6"/>
        <v>31</v>
      </c>
      <c r="B39" s="135">
        <v>41000000</v>
      </c>
      <c r="C39" s="136" t="s">
        <v>55</v>
      </c>
      <c r="D39" s="137">
        <f>SUM(D40:D58)</f>
        <v>552010.17680000002</v>
      </c>
      <c r="E39" s="137">
        <f>SUM(E40:E58)</f>
        <v>29862.328999999998</v>
      </c>
      <c r="F39" s="137">
        <f>SUM(F40:F58)</f>
        <v>81189.601049999997</v>
      </c>
      <c r="G39" s="137">
        <f>F39*100/E39</f>
        <v>271.87966836076316</v>
      </c>
      <c r="H39" s="138">
        <f t="shared" ref="H39:H45" si="7">F39-E39</f>
        <v>51327.27205</v>
      </c>
      <c r="I39" s="137">
        <f>SUM(I40:I58)</f>
        <v>500464.22480000008</v>
      </c>
      <c r="J39" s="139">
        <f>SUM(J40:J58)</f>
        <v>551551.47820000001</v>
      </c>
      <c r="K39" s="140">
        <f>J39/I39*100</f>
        <v>110.2079730914664</v>
      </c>
      <c r="L39" s="141">
        <f t="shared" ref="L39:L49" si="8">J39-I39</f>
        <v>51087.253399999929</v>
      </c>
      <c r="N39" s="143"/>
    </row>
    <row r="40" spans="1:14" s="142" customFormat="1" ht="30.75" x14ac:dyDescent="0.3">
      <c r="A40" s="25">
        <f t="shared" si="6"/>
        <v>32</v>
      </c>
      <c r="B40" s="144">
        <v>41033300</v>
      </c>
      <c r="C40" s="63" t="s">
        <v>112</v>
      </c>
      <c r="D40" s="145"/>
      <c r="E40" s="145"/>
      <c r="F40" s="84"/>
      <c r="G40" s="59"/>
      <c r="H40" s="146">
        <f t="shared" si="7"/>
        <v>0</v>
      </c>
      <c r="I40" s="145"/>
      <c r="J40" s="84"/>
      <c r="K40" s="53"/>
      <c r="L40" s="125">
        <f t="shared" si="8"/>
        <v>0</v>
      </c>
      <c r="N40" s="143"/>
    </row>
    <row r="41" spans="1:14" s="7" customFormat="1" ht="16.5" customHeight="1" x14ac:dyDescent="0.3">
      <c r="A41" s="25">
        <f t="shared" si="6"/>
        <v>33</v>
      </c>
      <c r="B41" s="39">
        <v>41033900</v>
      </c>
      <c r="C41" s="63" t="s">
        <v>64</v>
      </c>
      <c r="D41" s="67">
        <v>427509.2</v>
      </c>
      <c r="E41" s="67">
        <v>22401.5</v>
      </c>
      <c r="F41" s="89">
        <v>22401.5</v>
      </c>
      <c r="G41" s="59">
        <f>F41/E41*100</f>
        <v>100</v>
      </c>
      <c r="H41" s="146">
        <f t="shared" si="7"/>
        <v>0</v>
      </c>
      <c r="I41" s="67">
        <v>405107.7</v>
      </c>
      <c r="J41" s="89">
        <v>405107.7</v>
      </c>
      <c r="K41" s="52">
        <f>J41/I41*100</f>
        <v>100</v>
      </c>
      <c r="L41" s="125">
        <f t="shared" si="8"/>
        <v>0</v>
      </c>
    </row>
    <row r="42" spans="1:14" s="7" customFormat="1" ht="36" customHeight="1" x14ac:dyDescent="0.3">
      <c r="A42" s="25">
        <f t="shared" si="6"/>
        <v>34</v>
      </c>
      <c r="B42" s="39">
        <v>41033800</v>
      </c>
      <c r="C42" s="129" t="s">
        <v>113</v>
      </c>
      <c r="D42" s="147">
        <v>7697.9</v>
      </c>
      <c r="E42" s="147">
        <v>3421.4</v>
      </c>
      <c r="F42" s="148">
        <v>3421.4</v>
      </c>
      <c r="G42" s="59">
        <f>F42/E42*100</f>
        <v>100</v>
      </c>
      <c r="H42" s="149">
        <f t="shared" si="7"/>
        <v>0</v>
      </c>
      <c r="I42" s="147">
        <v>7697.9</v>
      </c>
      <c r="J42" s="148">
        <v>7697.9</v>
      </c>
      <c r="K42" s="52">
        <f>J42/I42*100</f>
        <v>100</v>
      </c>
      <c r="L42" s="150">
        <f t="shared" si="8"/>
        <v>0</v>
      </c>
    </row>
    <row r="43" spans="1:14" s="7" customFormat="1" ht="30.75" x14ac:dyDescent="0.3">
      <c r="A43" s="25">
        <f t="shared" si="6"/>
        <v>35</v>
      </c>
      <c r="B43" s="151">
        <v>41035400</v>
      </c>
      <c r="C43" s="152" t="s">
        <v>114</v>
      </c>
      <c r="D43" s="67">
        <v>1930.6</v>
      </c>
      <c r="E43" s="67"/>
      <c r="F43" s="49"/>
      <c r="G43" s="59"/>
      <c r="H43" s="153">
        <f t="shared" si="7"/>
        <v>0</v>
      </c>
      <c r="I43" s="67">
        <v>1161</v>
      </c>
      <c r="J43" s="49">
        <v>1161</v>
      </c>
      <c r="K43" s="52">
        <f>J43/I43*100</f>
        <v>100</v>
      </c>
      <c r="L43" s="150">
        <f t="shared" si="8"/>
        <v>0</v>
      </c>
    </row>
    <row r="44" spans="1:14" s="7" customFormat="1" ht="60.75" x14ac:dyDescent="0.3">
      <c r="A44" s="25">
        <f t="shared" si="6"/>
        <v>36</v>
      </c>
      <c r="B44" s="151">
        <v>41036000</v>
      </c>
      <c r="C44" s="152" t="s">
        <v>115</v>
      </c>
      <c r="D44" s="67">
        <v>12321.5</v>
      </c>
      <c r="E44" s="67">
        <v>3480.6</v>
      </c>
      <c r="F44" s="49">
        <v>3480.6</v>
      </c>
      <c r="G44" s="59">
        <f>F44/E44*100</f>
        <v>100</v>
      </c>
      <c r="H44" s="153">
        <f t="shared" si="7"/>
        <v>0</v>
      </c>
      <c r="I44" s="67">
        <v>10441.799999999999</v>
      </c>
      <c r="J44" s="49">
        <v>10441.799999999999</v>
      </c>
      <c r="K44" s="52">
        <f>J44/I44*100</f>
        <v>100</v>
      </c>
      <c r="L44" s="150">
        <f t="shared" si="8"/>
        <v>0</v>
      </c>
    </row>
    <row r="45" spans="1:14" s="7" customFormat="1" ht="45" x14ac:dyDescent="0.3">
      <c r="A45" s="25">
        <f t="shared" si="6"/>
        <v>37</v>
      </c>
      <c r="B45" s="39">
        <v>41036300</v>
      </c>
      <c r="C45" s="154" t="s">
        <v>116</v>
      </c>
      <c r="D45" s="67">
        <v>31073.9</v>
      </c>
      <c r="E45" s="49"/>
      <c r="F45" s="49"/>
      <c r="G45" s="59"/>
      <c r="H45" s="153">
        <f t="shared" si="7"/>
        <v>0</v>
      </c>
      <c r="I45" s="49">
        <v>31073.9</v>
      </c>
      <c r="J45" s="49">
        <v>31073.9</v>
      </c>
      <c r="K45" s="52">
        <f>J45/I45*100</f>
        <v>100</v>
      </c>
      <c r="L45" s="150">
        <f t="shared" si="8"/>
        <v>0</v>
      </c>
    </row>
    <row r="46" spans="1:14" s="7" customFormat="1" ht="45" x14ac:dyDescent="0.3">
      <c r="A46" s="25">
        <f t="shared" si="6"/>
        <v>38</v>
      </c>
      <c r="B46" s="155">
        <v>41037800</v>
      </c>
      <c r="C46" s="154" t="s">
        <v>117</v>
      </c>
      <c r="D46" s="67"/>
      <c r="E46" s="49"/>
      <c r="F46" s="49">
        <v>51428.571000000004</v>
      </c>
      <c r="G46" s="59"/>
      <c r="H46" s="153"/>
      <c r="I46" s="49"/>
      <c r="J46" s="49">
        <v>51428.571000000004</v>
      </c>
      <c r="K46" s="52"/>
      <c r="L46" s="150">
        <f t="shared" si="8"/>
        <v>51428.571000000004</v>
      </c>
    </row>
    <row r="47" spans="1:14" s="7" customFormat="1" ht="16.5" customHeight="1" x14ac:dyDescent="0.3">
      <c r="A47" s="25">
        <f t="shared" si="6"/>
        <v>39</v>
      </c>
      <c r="B47" s="156">
        <v>41040400</v>
      </c>
      <c r="C47" s="157" t="s">
        <v>118</v>
      </c>
      <c r="D47" s="49">
        <v>81.161799999999999</v>
      </c>
      <c r="E47" s="67"/>
      <c r="F47" s="49"/>
      <c r="G47" s="59"/>
      <c r="H47" s="153">
        <f>F47-E47</f>
        <v>0</v>
      </c>
      <c r="I47" s="49">
        <v>81.161799999999999</v>
      </c>
      <c r="J47" s="49">
        <v>81.161799999999999</v>
      </c>
      <c r="K47" s="52">
        <f t="shared" ref="K47:K54" si="9">J47/I47*100</f>
        <v>100</v>
      </c>
      <c r="L47" s="125">
        <f t="shared" si="8"/>
        <v>0</v>
      </c>
    </row>
    <row r="48" spans="1:14" s="7" customFormat="1" ht="75" x14ac:dyDescent="0.3">
      <c r="A48" s="25">
        <f t="shared" si="6"/>
        <v>40</v>
      </c>
      <c r="B48" s="156">
        <v>41050100</v>
      </c>
      <c r="C48" s="154" t="s">
        <v>119</v>
      </c>
      <c r="D48" s="158">
        <v>17112.124</v>
      </c>
      <c r="E48" s="159"/>
      <c r="F48" s="160"/>
      <c r="G48" s="59"/>
      <c r="H48" s="161">
        <f>F48-E48</f>
        <v>0</v>
      </c>
      <c r="I48" s="158">
        <v>17112.124</v>
      </c>
      <c r="J48" s="158">
        <v>17112.124</v>
      </c>
      <c r="K48" s="52">
        <f t="shared" si="9"/>
        <v>100</v>
      </c>
      <c r="L48" s="125">
        <f t="shared" si="8"/>
        <v>0</v>
      </c>
    </row>
    <row r="49" spans="1:14" s="7" customFormat="1" ht="289.5" customHeight="1" x14ac:dyDescent="0.3">
      <c r="A49" s="25">
        <f t="shared" si="6"/>
        <v>41</v>
      </c>
      <c r="B49" s="156">
        <v>41050200</v>
      </c>
      <c r="C49" s="162" t="s">
        <v>120</v>
      </c>
      <c r="D49" s="158">
        <v>44855.909</v>
      </c>
      <c r="E49" s="159"/>
      <c r="F49" s="160"/>
      <c r="G49" s="59"/>
      <c r="H49" s="161">
        <f>F49-E49</f>
        <v>0</v>
      </c>
      <c r="I49" s="158">
        <v>19300</v>
      </c>
      <c r="J49" s="158">
        <v>19300</v>
      </c>
      <c r="K49" s="52">
        <f t="shared" si="9"/>
        <v>100</v>
      </c>
      <c r="L49" s="125">
        <f t="shared" si="8"/>
        <v>0</v>
      </c>
    </row>
    <row r="50" spans="1:14" s="7" customFormat="1" ht="33.75" hidden="1" customHeight="1" x14ac:dyDescent="0.3">
      <c r="A50" s="25">
        <f t="shared" si="6"/>
        <v>42</v>
      </c>
      <c r="B50" s="39">
        <v>41050400</v>
      </c>
      <c r="C50" s="63" t="s">
        <v>121</v>
      </c>
      <c r="D50" s="159"/>
      <c r="E50" s="159"/>
      <c r="F50" s="160"/>
      <c r="G50" s="59" t="e">
        <f>F50/E50*100</f>
        <v>#DIV/0!</v>
      </c>
      <c r="H50" s="161">
        <v>0</v>
      </c>
      <c r="I50" s="159"/>
      <c r="J50" s="159"/>
      <c r="K50" s="52" t="e">
        <f t="shared" si="9"/>
        <v>#DIV/0!</v>
      </c>
      <c r="L50" s="163">
        <v>0</v>
      </c>
      <c r="N50" s="48"/>
    </row>
    <row r="51" spans="1:14" s="7" customFormat="1" ht="36" hidden="1" customHeight="1" x14ac:dyDescent="0.3">
      <c r="A51" s="25">
        <f t="shared" si="6"/>
        <v>43</v>
      </c>
      <c r="B51" s="39">
        <v>41050900</v>
      </c>
      <c r="C51" s="63" t="s">
        <v>122</v>
      </c>
      <c r="D51" s="89"/>
      <c r="E51" s="67"/>
      <c r="F51" s="89"/>
      <c r="G51" s="59" t="e">
        <f>F51/E51*100</f>
        <v>#DIV/0!</v>
      </c>
      <c r="H51" s="153">
        <f>F51-E51</f>
        <v>0</v>
      </c>
      <c r="I51" s="89"/>
      <c r="J51" s="89"/>
      <c r="K51" s="52" t="e">
        <f t="shared" si="9"/>
        <v>#DIV/0!</v>
      </c>
      <c r="L51" s="125">
        <f>J51-I51</f>
        <v>0</v>
      </c>
    </row>
    <row r="52" spans="1:14" s="7" customFormat="1" ht="34.5" hidden="1" customHeight="1" x14ac:dyDescent="0.3">
      <c r="A52" s="25">
        <f t="shared" si="6"/>
        <v>44</v>
      </c>
      <c r="B52" s="39">
        <v>41050500</v>
      </c>
      <c r="C52" s="63" t="s">
        <v>123</v>
      </c>
      <c r="D52" s="67"/>
      <c r="E52" s="67"/>
      <c r="F52" s="89"/>
      <c r="G52" s="59" t="e">
        <f>F52/E52*100</f>
        <v>#DIV/0!</v>
      </c>
      <c r="H52" s="146">
        <v>0</v>
      </c>
      <c r="I52" s="67"/>
      <c r="J52" s="89"/>
      <c r="K52" s="52" t="e">
        <f t="shared" si="9"/>
        <v>#DIV/0!</v>
      </c>
      <c r="L52" s="125">
        <v>0</v>
      </c>
    </row>
    <row r="53" spans="1:14" s="7" customFormat="1" ht="47.25" hidden="1" customHeight="1" x14ac:dyDescent="0.3">
      <c r="A53" s="25">
        <f t="shared" si="6"/>
        <v>45</v>
      </c>
      <c r="B53" s="39">
        <v>41050600</v>
      </c>
      <c r="C53" s="63" t="s">
        <v>124</v>
      </c>
      <c r="D53" s="67"/>
      <c r="E53" s="67"/>
      <c r="F53" s="89"/>
      <c r="G53" s="59" t="e">
        <f>F53/E53*100</f>
        <v>#DIV/0!</v>
      </c>
      <c r="H53" s="146">
        <f t="shared" ref="H53:H59" si="10">F53-E53</f>
        <v>0</v>
      </c>
      <c r="I53" s="67"/>
      <c r="J53" s="89"/>
      <c r="K53" s="52" t="e">
        <f t="shared" si="9"/>
        <v>#DIV/0!</v>
      </c>
      <c r="L53" s="125">
        <f t="shared" ref="L53:L59" si="11">J53-I53</f>
        <v>0</v>
      </c>
    </row>
    <row r="54" spans="1:14" s="7" customFormat="1" ht="21" customHeight="1" x14ac:dyDescent="0.3">
      <c r="A54" s="25">
        <f t="shared" si="6"/>
        <v>46</v>
      </c>
      <c r="B54" s="25">
        <v>41051000</v>
      </c>
      <c r="C54" s="63" t="s">
        <v>60</v>
      </c>
      <c r="D54" s="49">
        <v>7201.2</v>
      </c>
      <c r="E54" s="49">
        <v>377.3</v>
      </c>
      <c r="F54" s="89">
        <v>255.6</v>
      </c>
      <c r="G54" s="59">
        <f>F54/E54*100</f>
        <v>67.744500397561609</v>
      </c>
      <c r="H54" s="146">
        <f t="shared" si="10"/>
        <v>-121.70000000000002</v>
      </c>
      <c r="I54" s="49">
        <v>6823.9</v>
      </c>
      <c r="J54" s="89">
        <v>6620.6</v>
      </c>
      <c r="K54" s="52">
        <f t="shared" si="9"/>
        <v>97.020765251542386</v>
      </c>
      <c r="L54" s="125">
        <f t="shared" si="11"/>
        <v>-203.29999999999927</v>
      </c>
    </row>
    <row r="55" spans="1:14" s="7" customFormat="1" ht="29.25" hidden="1" customHeight="1" x14ac:dyDescent="0.3">
      <c r="A55" s="25">
        <f t="shared" si="6"/>
        <v>47</v>
      </c>
      <c r="B55" s="25">
        <v>41051200</v>
      </c>
      <c r="C55" s="164" t="s">
        <v>62</v>
      </c>
      <c r="D55" s="67"/>
      <c r="E55" s="67"/>
      <c r="F55" s="89"/>
      <c r="G55" s="59"/>
      <c r="H55" s="149">
        <f t="shared" si="10"/>
        <v>0</v>
      </c>
      <c r="I55" s="67"/>
      <c r="J55" s="89"/>
      <c r="K55" s="53"/>
      <c r="L55" s="125">
        <f t="shared" si="11"/>
        <v>0</v>
      </c>
    </row>
    <row r="56" spans="1:14" s="7" customFormat="1" ht="29.25" hidden="1" customHeight="1" x14ac:dyDescent="0.3">
      <c r="A56" s="25">
        <f t="shared" si="6"/>
        <v>48</v>
      </c>
      <c r="B56" s="165">
        <v>41051400</v>
      </c>
      <c r="C56" s="164" t="s">
        <v>125</v>
      </c>
      <c r="D56" s="83"/>
      <c r="E56" s="67"/>
      <c r="F56" s="89"/>
      <c r="G56" s="59"/>
      <c r="H56" s="153">
        <f t="shared" si="10"/>
        <v>0</v>
      </c>
      <c r="I56" s="67"/>
      <c r="J56" s="89"/>
      <c r="K56" s="53"/>
      <c r="L56" s="125">
        <f t="shared" si="11"/>
        <v>0</v>
      </c>
    </row>
    <row r="57" spans="1:14" s="7" customFormat="1" ht="17.25" customHeight="1" x14ac:dyDescent="0.3">
      <c r="A57" s="25">
        <f t="shared" si="6"/>
        <v>49</v>
      </c>
      <c r="B57" s="165">
        <v>41053900</v>
      </c>
      <c r="C57" s="63" t="s">
        <v>71</v>
      </c>
      <c r="D57" s="84">
        <v>1243.81</v>
      </c>
      <c r="E57" s="49">
        <v>58.67</v>
      </c>
      <c r="F57" s="89">
        <v>79.07105</v>
      </c>
      <c r="G57" s="59">
        <f>F57/E57*100</f>
        <v>134.7725413328788</v>
      </c>
      <c r="H57" s="153">
        <f t="shared" si="10"/>
        <v>20.401049999999998</v>
      </c>
      <c r="I57" s="49">
        <v>804.726</v>
      </c>
      <c r="J57" s="89">
        <v>666.70839999999998</v>
      </c>
      <c r="K57" s="53">
        <f>J57/I57*100</f>
        <v>82.849118830508772</v>
      </c>
      <c r="L57" s="125">
        <f t="shared" si="11"/>
        <v>-138.01760000000002</v>
      </c>
    </row>
    <row r="58" spans="1:14" s="7" customFormat="1" ht="45.75" x14ac:dyDescent="0.3">
      <c r="A58" s="25">
        <f t="shared" si="6"/>
        <v>50</v>
      </c>
      <c r="B58" s="165">
        <v>41059300</v>
      </c>
      <c r="C58" s="166" t="s">
        <v>126</v>
      </c>
      <c r="D58" s="84">
        <v>982.87199999999996</v>
      </c>
      <c r="E58" s="49">
        <v>122.85899999999999</v>
      </c>
      <c r="F58" s="89">
        <v>122.85899999999999</v>
      </c>
      <c r="G58" s="59">
        <f>F58/E58*100</f>
        <v>100</v>
      </c>
      <c r="H58" s="153">
        <f t="shared" si="10"/>
        <v>0</v>
      </c>
      <c r="I58" s="53">
        <v>860.01300000000003</v>
      </c>
      <c r="J58" s="89">
        <v>860.01300000000003</v>
      </c>
      <c r="K58" s="53">
        <f>J58/I58*100</f>
        <v>100</v>
      </c>
      <c r="L58" s="125">
        <f t="shared" si="11"/>
        <v>0</v>
      </c>
    </row>
    <row r="59" spans="1:14" s="171" customFormat="1" ht="24.75" customHeight="1" x14ac:dyDescent="0.3">
      <c r="A59" s="25">
        <f t="shared" si="6"/>
        <v>51</v>
      </c>
      <c r="B59" s="167"/>
      <c r="C59" s="168" t="s">
        <v>73</v>
      </c>
      <c r="D59" s="70">
        <f>D37+D39</f>
        <v>3984866.8747999999</v>
      </c>
      <c r="E59" s="70">
        <f>E37+E39</f>
        <v>377682.22699999996</v>
      </c>
      <c r="F59" s="73">
        <f>F37+F39</f>
        <v>382173.33397000004</v>
      </c>
      <c r="G59" s="132">
        <f>F59/E59*100</f>
        <v>101.18912319641666</v>
      </c>
      <c r="H59" s="169">
        <f t="shared" si="10"/>
        <v>4491.1069700000808</v>
      </c>
      <c r="I59" s="170">
        <f>I37+I39</f>
        <v>2558569.9228000003</v>
      </c>
      <c r="J59" s="73">
        <f>J37+J39</f>
        <v>2634678.90283</v>
      </c>
      <c r="K59" s="73">
        <f>J59/I59*100</f>
        <v>102.97466875350074</v>
      </c>
      <c r="L59" s="133">
        <f t="shared" si="11"/>
        <v>76108.980029999744</v>
      </c>
    </row>
    <row r="60" spans="1:14" s="7" customFormat="1" ht="12.75" customHeight="1" x14ac:dyDescent="0.3">
      <c r="A60" s="25">
        <f t="shared" si="6"/>
        <v>52</v>
      </c>
      <c r="B60" s="39"/>
      <c r="C60" s="90"/>
      <c r="D60" s="70"/>
      <c r="E60" s="70"/>
      <c r="F60" s="73"/>
      <c r="G60" s="132"/>
      <c r="H60" s="132"/>
      <c r="I60" s="133"/>
      <c r="J60" s="73"/>
      <c r="K60" s="53"/>
      <c r="L60" s="125"/>
    </row>
    <row r="61" spans="1:14" s="7" customFormat="1" ht="18.75" x14ac:dyDescent="0.3">
      <c r="A61" s="25">
        <f t="shared" si="6"/>
        <v>53</v>
      </c>
      <c r="B61" s="39"/>
      <c r="C61" s="172" t="s">
        <v>74</v>
      </c>
      <c r="D61" s="137">
        <f>D62+D63+D64+D65</f>
        <v>27100</v>
      </c>
      <c r="E61" s="137">
        <f>E62+E63+E64+E65</f>
        <v>1000</v>
      </c>
      <c r="F61" s="137">
        <f>F62+F63+F64+F65</f>
        <v>2848.1891100000003</v>
      </c>
      <c r="G61" s="137">
        <f>F61/E61*100</f>
        <v>284.81891100000001</v>
      </c>
      <c r="H61" s="138">
        <f>F61-E61</f>
        <v>1848.1891100000003</v>
      </c>
      <c r="I61" s="137">
        <f>I62+I63+I64+I65</f>
        <v>19000</v>
      </c>
      <c r="J61" s="139">
        <f>J62+J63+J64+J65</f>
        <v>21991.371059999998</v>
      </c>
      <c r="K61" s="139">
        <f>J61/I61*100</f>
        <v>115.74405821052632</v>
      </c>
      <c r="L61" s="141">
        <f>J61-I61</f>
        <v>2991.3710599999977</v>
      </c>
    </row>
    <row r="62" spans="1:14" s="7" customFormat="1" ht="18.75" x14ac:dyDescent="0.3">
      <c r="A62" s="25">
        <f t="shared" si="6"/>
        <v>54</v>
      </c>
      <c r="B62" s="39">
        <v>31030001</v>
      </c>
      <c r="C62" s="13" t="s">
        <v>75</v>
      </c>
      <c r="D62" s="67">
        <v>1999.9639999999999</v>
      </c>
      <c r="E62" s="67"/>
      <c r="F62" s="89">
        <v>820</v>
      </c>
      <c r="G62" s="59"/>
      <c r="H62" s="124">
        <f>F62-E62</f>
        <v>820</v>
      </c>
      <c r="I62" s="67"/>
      <c r="J62" s="89">
        <v>3011.8049999999998</v>
      </c>
      <c r="K62" s="53"/>
      <c r="L62" s="125">
        <f>J62-I62</f>
        <v>3011.8049999999998</v>
      </c>
    </row>
    <row r="63" spans="1:14" s="7" customFormat="1" ht="18.75" x14ac:dyDescent="0.3">
      <c r="A63" s="25">
        <f t="shared" si="6"/>
        <v>55</v>
      </c>
      <c r="B63" s="39">
        <v>33010100</v>
      </c>
      <c r="C63" s="13" t="s">
        <v>77</v>
      </c>
      <c r="D63" s="67">
        <v>13100</v>
      </c>
      <c r="E63" s="49">
        <v>1000</v>
      </c>
      <c r="F63" s="89">
        <v>2028.18911</v>
      </c>
      <c r="G63" s="59">
        <f>F63/E63*100</f>
        <v>202.81891100000001</v>
      </c>
      <c r="H63" s="124">
        <f>F63-E63</f>
        <v>1028.18911</v>
      </c>
      <c r="I63" s="49">
        <v>7000</v>
      </c>
      <c r="J63" s="89">
        <v>8702.1057799999999</v>
      </c>
      <c r="K63" s="53">
        <f>J63/I63*100</f>
        <v>124.31579685714284</v>
      </c>
      <c r="L63" s="125">
        <f>J63-I63</f>
        <v>1702.1057799999999</v>
      </c>
    </row>
    <row r="64" spans="1:14" s="7" customFormat="1" ht="18.75" x14ac:dyDescent="0.3">
      <c r="A64" s="25">
        <f t="shared" si="6"/>
        <v>56</v>
      </c>
      <c r="B64" s="39">
        <v>24170000</v>
      </c>
      <c r="C64" s="13" t="s">
        <v>127</v>
      </c>
      <c r="D64" s="67">
        <v>12000</v>
      </c>
      <c r="E64" s="49"/>
      <c r="F64" s="89"/>
      <c r="G64" s="59"/>
      <c r="H64" s="124">
        <f>F64-E64</f>
        <v>0</v>
      </c>
      <c r="I64" s="49">
        <v>12000</v>
      </c>
      <c r="J64" s="89">
        <v>10277.460279999999</v>
      </c>
      <c r="K64" s="53">
        <f>J64/I64*100</f>
        <v>85.645502333333326</v>
      </c>
      <c r="L64" s="125">
        <f>J64-I64</f>
        <v>-1722.5397200000007</v>
      </c>
    </row>
    <row r="65" spans="1:14" s="7" customFormat="1" ht="16.5" customHeight="1" x14ac:dyDescent="0.3">
      <c r="A65" s="25">
        <f t="shared" si="6"/>
        <v>57</v>
      </c>
      <c r="B65" s="39">
        <v>24110700</v>
      </c>
      <c r="C65" s="58" t="s">
        <v>128</v>
      </c>
      <c r="D65" s="104">
        <v>3.5999999999999997E-2</v>
      </c>
      <c r="E65" s="104"/>
      <c r="F65" s="173"/>
      <c r="G65" s="59"/>
      <c r="H65" s="124">
        <f>F65-E65</f>
        <v>0</v>
      </c>
      <c r="I65" s="104"/>
      <c r="J65" s="174"/>
      <c r="K65" s="53"/>
      <c r="L65" s="125">
        <f>J65-I65</f>
        <v>0</v>
      </c>
    </row>
    <row r="66" spans="1:14" s="7" customFormat="1" ht="12.75" customHeight="1" x14ac:dyDescent="0.3">
      <c r="A66" s="25">
        <f t="shared" si="6"/>
        <v>58</v>
      </c>
      <c r="B66" s="39"/>
      <c r="C66" s="58"/>
      <c r="D66" s="104"/>
      <c r="E66" s="104"/>
      <c r="F66" s="175"/>
      <c r="G66" s="59"/>
      <c r="H66" s="124"/>
      <c r="I66" s="153"/>
      <c r="J66" s="175"/>
      <c r="K66" s="53"/>
      <c r="L66" s="125"/>
    </row>
    <row r="67" spans="1:14" s="7" customFormat="1" ht="18.75" x14ac:dyDescent="0.3">
      <c r="A67" s="25">
        <f t="shared" si="6"/>
        <v>59</v>
      </c>
      <c r="B67" s="39"/>
      <c r="C67" s="136" t="s">
        <v>81</v>
      </c>
      <c r="D67" s="137">
        <f>SUM(D68:D76)</f>
        <v>150813.91</v>
      </c>
      <c r="E67" s="137">
        <f>SUM(E68:E76)</f>
        <v>2293.8105399999999</v>
      </c>
      <c r="F67" s="137">
        <f>SUM(F68:F77)</f>
        <v>1439.4643100000003</v>
      </c>
      <c r="G67" s="138">
        <f>F67/E67*100</f>
        <v>62.754280918074443</v>
      </c>
      <c r="H67" s="138">
        <f t="shared" ref="H67:H78" si="12">F67-E67</f>
        <v>-854.34622999999965</v>
      </c>
      <c r="I67" s="137">
        <f>SUM(I68:I76)</f>
        <v>41749.86219</v>
      </c>
      <c r="J67" s="139">
        <f>SUM(J68:J77)</f>
        <v>60226.5795</v>
      </c>
      <c r="K67" s="140">
        <f>J67/I67*100</f>
        <v>144.25575640445004</v>
      </c>
      <c r="L67" s="141">
        <f t="shared" ref="L67:L78" si="13">J67-I67</f>
        <v>18476.71731</v>
      </c>
    </row>
    <row r="68" spans="1:14" s="7" customFormat="1" ht="18.75" x14ac:dyDescent="0.3">
      <c r="A68" s="25">
        <f t="shared" si="6"/>
        <v>60</v>
      </c>
      <c r="B68" s="39">
        <v>19010000</v>
      </c>
      <c r="C68" s="13" t="s">
        <v>83</v>
      </c>
      <c r="D68" s="49">
        <v>2400</v>
      </c>
      <c r="E68" s="49">
        <v>250</v>
      </c>
      <c r="F68" s="89">
        <v>40.802639999999997</v>
      </c>
      <c r="G68" s="59">
        <f>F68/E68*100</f>
        <v>16.321055999999999</v>
      </c>
      <c r="H68" s="124">
        <f t="shared" si="12"/>
        <v>-209.19736</v>
      </c>
      <c r="I68" s="49">
        <v>1620</v>
      </c>
      <c r="J68" s="89">
        <v>1429.4207899999999</v>
      </c>
      <c r="K68" s="53">
        <f>J68/I68*100</f>
        <v>88.235851234567903</v>
      </c>
      <c r="L68" s="125">
        <f t="shared" si="13"/>
        <v>-190.5792100000001</v>
      </c>
    </row>
    <row r="69" spans="1:14" s="7" customFormat="1" ht="22.5" customHeight="1" x14ac:dyDescent="0.3">
      <c r="A69" s="25">
        <f t="shared" si="6"/>
        <v>61</v>
      </c>
      <c r="B69" s="39">
        <v>24062100</v>
      </c>
      <c r="C69" s="63" t="s">
        <v>84</v>
      </c>
      <c r="D69" s="49">
        <v>200</v>
      </c>
      <c r="E69" s="49"/>
      <c r="F69" s="89"/>
      <c r="G69" s="59"/>
      <c r="H69" s="124">
        <f t="shared" si="12"/>
        <v>0</v>
      </c>
      <c r="I69" s="49">
        <v>100</v>
      </c>
      <c r="J69" s="89">
        <v>1.5980000000000001</v>
      </c>
      <c r="K69" s="53">
        <f>J69/I69*100</f>
        <v>1.5980000000000001</v>
      </c>
      <c r="L69" s="125">
        <f t="shared" si="13"/>
        <v>-98.402000000000001</v>
      </c>
    </row>
    <row r="70" spans="1:14" s="7" customFormat="1" ht="20.25" customHeight="1" x14ac:dyDescent="0.3">
      <c r="A70" s="25">
        <f t="shared" si="6"/>
        <v>62</v>
      </c>
      <c r="B70" s="39">
        <v>24110900</v>
      </c>
      <c r="C70" s="63" t="s">
        <v>85</v>
      </c>
      <c r="D70" s="49">
        <v>1</v>
      </c>
      <c r="E70" s="49"/>
      <c r="F70" s="89">
        <v>0.1047</v>
      </c>
      <c r="G70" s="59"/>
      <c r="H70" s="124">
        <f t="shared" si="12"/>
        <v>0.1047</v>
      </c>
      <c r="I70" s="49">
        <v>0.5</v>
      </c>
      <c r="J70" s="89">
        <v>0.52886999999999995</v>
      </c>
      <c r="K70" s="53">
        <f>J70/I70*100</f>
        <v>105.77399999999999</v>
      </c>
      <c r="L70" s="125">
        <f t="shared" si="13"/>
        <v>2.8869999999999951E-2</v>
      </c>
      <c r="N70" s="48"/>
    </row>
    <row r="71" spans="1:14" s="7" customFormat="1" ht="20.25" customHeight="1" x14ac:dyDescent="0.3">
      <c r="A71" s="25">
        <f t="shared" si="6"/>
        <v>63</v>
      </c>
      <c r="B71" s="39">
        <v>25010000</v>
      </c>
      <c r="C71" s="63" t="s">
        <v>129</v>
      </c>
      <c r="D71" s="49">
        <v>86603.6</v>
      </c>
      <c r="E71" s="49">
        <f>F71</f>
        <v>2033.8105399999999</v>
      </c>
      <c r="F71" s="89">
        <v>2033.8105399999999</v>
      </c>
      <c r="G71" s="59">
        <f>F71/E71*100</f>
        <v>100</v>
      </c>
      <c r="H71" s="124">
        <f t="shared" si="12"/>
        <v>0</v>
      </c>
      <c r="I71" s="49">
        <f>J71</f>
        <v>38559.552190000002</v>
      </c>
      <c r="J71" s="89">
        <v>38559.552190000002</v>
      </c>
      <c r="K71" s="53">
        <f>J71/I71*100</f>
        <v>100</v>
      </c>
      <c r="L71" s="125">
        <f t="shared" si="13"/>
        <v>0</v>
      </c>
    </row>
    <row r="72" spans="1:14" s="7" customFormat="1" ht="24" customHeight="1" x14ac:dyDescent="0.3">
      <c r="A72" s="25">
        <f t="shared" si="6"/>
        <v>64</v>
      </c>
      <c r="B72" s="39">
        <v>25020000</v>
      </c>
      <c r="C72" s="164" t="s">
        <v>130</v>
      </c>
      <c r="D72" s="49"/>
      <c r="E72" s="49"/>
      <c r="F72" s="89">
        <v>-1060.30171</v>
      </c>
      <c r="G72" s="59"/>
      <c r="H72" s="124">
        <f t="shared" si="12"/>
        <v>-1060.30171</v>
      </c>
      <c r="I72" s="49"/>
      <c r="J72" s="89">
        <v>15803.821449999999</v>
      </c>
      <c r="K72" s="53"/>
      <c r="L72" s="125">
        <f t="shared" si="13"/>
        <v>15803.821449999999</v>
      </c>
    </row>
    <row r="73" spans="1:14" s="7" customFormat="1" ht="32.25" customHeight="1" x14ac:dyDescent="0.3">
      <c r="A73" s="25">
        <f t="shared" si="6"/>
        <v>65</v>
      </c>
      <c r="B73" s="39">
        <v>41031400</v>
      </c>
      <c r="C73" s="164" t="s">
        <v>131</v>
      </c>
      <c r="D73" s="49">
        <v>60000</v>
      </c>
      <c r="E73" s="49"/>
      <c r="F73" s="89"/>
      <c r="G73" s="59"/>
      <c r="H73" s="124">
        <f t="shared" si="12"/>
        <v>0</v>
      </c>
      <c r="I73" s="49"/>
      <c r="J73" s="89">
        <v>2764.3710700000001</v>
      </c>
      <c r="K73" s="53"/>
      <c r="L73" s="125">
        <f t="shared" si="13"/>
        <v>2764.3710700000001</v>
      </c>
    </row>
    <row r="74" spans="1:14" s="7" customFormat="1" ht="48" x14ac:dyDescent="0.3">
      <c r="A74" s="25">
        <f t="shared" si="6"/>
        <v>66</v>
      </c>
      <c r="B74" s="176">
        <v>41034200</v>
      </c>
      <c r="C74" s="177" t="s">
        <v>132</v>
      </c>
      <c r="D74" s="49"/>
      <c r="E74" s="49"/>
      <c r="F74" s="89">
        <v>300</v>
      </c>
      <c r="G74" s="59"/>
      <c r="H74" s="124">
        <f t="shared" si="12"/>
        <v>300</v>
      </c>
      <c r="I74" s="49"/>
      <c r="J74" s="89">
        <v>300</v>
      </c>
      <c r="K74" s="53"/>
      <c r="L74" s="125">
        <f t="shared" si="13"/>
        <v>300</v>
      </c>
    </row>
    <row r="75" spans="1:14" s="7" customFormat="1" ht="45.75" x14ac:dyDescent="0.3">
      <c r="A75" s="25">
        <f t="shared" si="6"/>
        <v>67</v>
      </c>
      <c r="B75" s="25">
        <v>41051100</v>
      </c>
      <c r="C75" s="63" t="s">
        <v>61</v>
      </c>
      <c r="D75" s="49">
        <v>939.81</v>
      </c>
      <c r="E75" s="49"/>
      <c r="F75" s="89"/>
      <c r="G75" s="59"/>
      <c r="H75" s="124">
        <f t="shared" si="12"/>
        <v>0</v>
      </c>
      <c r="I75" s="49">
        <v>939.81</v>
      </c>
      <c r="J75" s="89">
        <v>939.81</v>
      </c>
      <c r="K75" s="53">
        <f>J75/I75*100</f>
        <v>100</v>
      </c>
      <c r="L75" s="125">
        <f t="shared" si="13"/>
        <v>0</v>
      </c>
    </row>
    <row r="76" spans="1:14" s="7" customFormat="1" ht="18.75" x14ac:dyDescent="0.3">
      <c r="A76" s="25">
        <f t="shared" si="6"/>
        <v>68</v>
      </c>
      <c r="B76" s="39">
        <v>50110000</v>
      </c>
      <c r="C76" s="13" t="s">
        <v>88</v>
      </c>
      <c r="D76" s="49">
        <v>669.5</v>
      </c>
      <c r="E76" s="49">
        <v>10</v>
      </c>
      <c r="F76" s="89">
        <v>125.04814</v>
      </c>
      <c r="G76" s="59">
        <f>F76/E76*100</f>
        <v>1250.4813999999999</v>
      </c>
      <c r="H76" s="124">
        <f t="shared" si="12"/>
        <v>115.04814</v>
      </c>
      <c r="I76" s="178">
        <v>530</v>
      </c>
      <c r="J76" s="89">
        <v>427.47712999999999</v>
      </c>
      <c r="K76" s="53">
        <f>J76/I76*100</f>
        <v>80.656062264150947</v>
      </c>
      <c r="L76" s="125">
        <f t="shared" si="13"/>
        <v>-102.52287000000001</v>
      </c>
    </row>
    <row r="77" spans="1:14" s="7" customFormat="1" ht="45" hidden="1" x14ac:dyDescent="0.3">
      <c r="A77" s="25"/>
      <c r="B77" s="39">
        <v>41033300</v>
      </c>
      <c r="C77" s="154" t="s">
        <v>133</v>
      </c>
      <c r="D77" s="49"/>
      <c r="E77" s="49"/>
      <c r="F77" s="89"/>
      <c r="G77" s="59"/>
      <c r="H77" s="179">
        <f t="shared" si="12"/>
        <v>0</v>
      </c>
      <c r="I77" s="178"/>
      <c r="J77" s="89"/>
      <c r="K77" s="84"/>
      <c r="L77" s="125">
        <f t="shared" si="13"/>
        <v>0</v>
      </c>
    </row>
    <row r="78" spans="1:14" s="7" customFormat="1" ht="23.25" customHeight="1" x14ac:dyDescent="0.3">
      <c r="A78" s="25">
        <f>A76+1</f>
        <v>69</v>
      </c>
      <c r="B78" s="39"/>
      <c r="C78" s="180" t="s">
        <v>90</v>
      </c>
      <c r="D78" s="70">
        <f>D67+D61</f>
        <v>177913.91</v>
      </c>
      <c r="E78" s="70">
        <f>E67+E61</f>
        <v>3293.8105399999999</v>
      </c>
      <c r="F78" s="73">
        <f>F67+F61</f>
        <v>4287.6534200000006</v>
      </c>
      <c r="G78" s="132">
        <f>F78/E78*100</f>
        <v>130.17304328621162</v>
      </c>
      <c r="H78" s="132">
        <f t="shared" si="12"/>
        <v>993.8428800000006</v>
      </c>
      <c r="I78" s="70">
        <f>I67+I61</f>
        <v>60749.86219</v>
      </c>
      <c r="J78" s="181">
        <f>J67+J61</f>
        <v>82217.950559999997</v>
      </c>
      <c r="K78" s="73">
        <f>J78/I78*100</f>
        <v>135.33849723453997</v>
      </c>
      <c r="L78" s="133">
        <f t="shared" si="13"/>
        <v>21468.088369999998</v>
      </c>
    </row>
    <row r="79" spans="1:14" s="7" customFormat="1" ht="13.5" customHeight="1" x14ac:dyDescent="0.3">
      <c r="A79" s="25"/>
      <c r="B79" s="39"/>
      <c r="C79" s="180"/>
      <c r="D79" s="70"/>
      <c r="E79" s="70"/>
      <c r="F79" s="73"/>
      <c r="G79" s="132"/>
      <c r="H79" s="132"/>
      <c r="I79" s="133"/>
      <c r="J79" s="181"/>
      <c r="K79" s="73"/>
      <c r="L79" s="133"/>
    </row>
    <row r="80" spans="1:14" s="7" customFormat="1" ht="18.75" x14ac:dyDescent="0.3">
      <c r="A80" s="25">
        <f>A78+1</f>
        <v>70</v>
      </c>
      <c r="B80" s="39"/>
      <c r="C80" s="182" t="s">
        <v>91</v>
      </c>
      <c r="D80" s="70">
        <f>D59+D78</f>
        <v>4162780.7848</v>
      </c>
      <c r="E80" s="70">
        <f>E59+E78</f>
        <v>380976.03753999993</v>
      </c>
      <c r="F80" s="73">
        <f>F59+F78</f>
        <v>386460.98739000002</v>
      </c>
      <c r="G80" s="132">
        <f>F80/E80*100</f>
        <v>101.43970993173663</v>
      </c>
      <c r="H80" s="132">
        <f>F80-E80</f>
        <v>5484.9498500000918</v>
      </c>
      <c r="I80" s="70">
        <f>I59+I78</f>
        <v>2619319.7849900001</v>
      </c>
      <c r="J80" s="70">
        <f>J59+J78</f>
        <v>2716896.8533899998</v>
      </c>
      <c r="K80" s="73">
        <f>J80/I80*100</f>
        <v>103.72528276078259</v>
      </c>
      <c r="L80" s="133">
        <f>J80-I80</f>
        <v>97577.068399999756</v>
      </c>
    </row>
    <row r="81" spans="3:12" s="7" customFormat="1" ht="18.75" x14ac:dyDescent="0.3">
      <c r="C81" s="8"/>
      <c r="D81" s="111"/>
      <c r="E81" s="112"/>
      <c r="F81" s="114"/>
      <c r="G81" s="183"/>
      <c r="H81" s="183"/>
      <c r="I81" s="183"/>
      <c r="J81" s="183"/>
      <c r="K81" s="184"/>
      <c r="L81" s="185"/>
    </row>
    <row r="82" spans="3:12" s="7" customFormat="1" ht="18.75" x14ac:dyDescent="0.3">
      <c r="C82" s="8"/>
      <c r="D82" s="112"/>
      <c r="E82" s="112"/>
      <c r="F82" s="114"/>
      <c r="G82" s="183"/>
      <c r="H82" s="183"/>
      <c r="I82" s="183"/>
      <c r="J82" s="183"/>
      <c r="K82" s="184"/>
      <c r="L82" s="185"/>
    </row>
    <row r="83" spans="3:12" s="7" customFormat="1" ht="18.75" x14ac:dyDescent="0.3">
      <c r="C83" s="8"/>
      <c r="D83" s="112"/>
      <c r="E83" s="112"/>
      <c r="F83" s="114"/>
      <c r="G83" s="183"/>
      <c r="H83" s="183"/>
      <c r="I83" s="183"/>
      <c r="J83" s="183"/>
      <c r="K83" s="184"/>
      <c r="L83" s="185"/>
    </row>
    <row r="84" spans="3:12" s="7" customFormat="1" ht="18.75" x14ac:dyDescent="0.3">
      <c r="C84" s="8"/>
      <c r="D84" s="112"/>
      <c r="E84" s="112"/>
      <c r="F84" s="114"/>
      <c r="G84" s="183"/>
      <c r="H84" s="183"/>
      <c r="I84" s="183"/>
      <c r="J84" s="183"/>
      <c r="K84" s="184"/>
      <c r="L84" s="185"/>
    </row>
    <row r="85" spans="3:12" s="7" customFormat="1" ht="18.75" x14ac:dyDescent="0.3">
      <c r="C85" s="8"/>
      <c r="D85" s="112"/>
      <c r="E85" s="112"/>
      <c r="F85" s="114"/>
      <c r="G85" s="183"/>
      <c r="H85" s="183"/>
      <c r="I85" s="183"/>
      <c r="J85" s="183"/>
      <c r="K85" s="184"/>
      <c r="L85" s="185"/>
    </row>
    <row r="86" spans="3:12" s="7" customFormat="1" ht="18.75" x14ac:dyDescent="0.3">
      <c r="C86" s="8"/>
      <c r="D86" s="112"/>
      <c r="E86" s="112"/>
      <c r="F86" s="114"/>
      <c r="G86" s="183"/>
      <c r="H86" s="183"/>
      <c r="I86" s="183"/>
      <c r="J86" s="183"/>
      <c r="K86" s="184"/>
      <c r="L86" s="185"/>
    </row>
    <row r="87" spans="3:12" s="7" customFormat="1" ht="18.75" x14ac:dyDescent="0.3">
      <c r="C87" s="8"/>
      <c r="D87" s="112"/>
      <c r="E87" s="112"/>
      <c r="F87" s="114"/>
      <c r="G87" s="183"/>
      <c r="H87" s="183"/>
      <c r="I87" s="183"/>
      <c r="J87" s="183"/>
      <c r="K87" s="184"/>
      <c r="L87" s="185"/>
    </row>
    <row r="88" spans="3:12" s="7" customFormat="1" ht="18.75" x14ac:dyDescent="0.3">
      <c r="C88" s="8"/>
      <c r="D88" s="112"/>
      <c r="E88" s="112"/>
      <c r="F88" s="114"/>
      <c r="G88" s="183"/>
      <c r="H88" s="183"/>
      <c r="I88" s="183"/>
      <c r="J88" s="183"/>
      <c r="K88" s="184"/>
      <c r="L88" s="185"/>
    </row>
    <row r="89" spans="3:12" s="7" customFormat="1" ht="18.75" x14ac:dyDescent="0.3">
      <c r="C89" s="8"/>
      <c r="D89" s="112"/>
      <c r="E89" s="112"/>
      <c r="F89" s="114"/>
      <c r="G89" s="183"/>
      <c r="H89" s="183"/>
      <c r="I89" s="183"/>
      <c r="J89" s="183"/>
      <c r="K89" s="184"/>
      <c r="L89" s="185"/>
    </row>
    <row r="90" spans="3:12" s="7" customFormat="1" ht="18.75" x14ac:dyDescent="0.3">
      <c r="C90" s="8"/>
      <c r="D90" s="112"/>
      <c r="E90" s="112"/>
      <c r="F90" s="114"/>
      <c r="G90" s="183"/>
      <c r="H90" s="183"/>
      <c r="I90" s="183"/>
      <c r="J90" s="183"/>
      <c r="K90" s="184"/>
      <c r="L90" s="185"/>
    </row>
    <row r="91" spans="3:12" s="7" customFormat="1" ht="18.75" x14ac:dyDescent="0.3">
      <c r="C91" s="8"/>
      <c r="D91" s="112"/>
      <c r="E91" s="112"/>
      <c r="F91" s="114"/>
      <c r="G91" s="183"/>
      <c r="H91" s="183"/>
      <c r="I91" s="183"/>
      <c r="J91" s="183"/>
      <c r="K91" s="184"/>
      <c r="L91" s="185"/>
    </row>
    <row r="92" spans="3:12" s="7" customFormat="1" ht="18.75" x14ac:dyDescent="0.3">
      <c r="C92" s="8"/>
      <c r="D92" s="112"/>
      <c r="E92" s="112"/>
      <c r="F92" s="114"/>
      <c r="G92" s="113"/>
      <c r="H92" s="114"/>
      <c r="I92" s="114"/>
      <c r="J92" s="114"/>
      <c r="L92" s="186"/>
    </row>
    <row r="93" spans="3:12" s="7" customFormat="1" ht="18.75" x14ac:dyDescent="0.3">
      <c r="C93" s="8"/>
      <c r="D93" s="112"/>
      <c r="E93" s="112"/>
      <c r="F93" s="114"/>
      <c r="G93" s="113"/>
      <c r="H93" s="114"/>
      <c r="I93" s="114"/>
      <c r="J93" s="114"/>
      <c r="L93" s="186"/>
    </row>
    <row r="94" spans="3:12" s="7" customFormat="1" ht="18.75" x14ac:dyDescent="0.3">
      <c r="C94" s="8"/>
      <c r="D94" s="115"/>
      <c r="E94" s="115"/>
      <c r="F94" s="9"/>
      <c r="G94" s="116"/>
      <c r="H94" s="9"/>
      <c r="I94" s="9"/>
      <c r="J94" s="9"/>
      <c r="L94" s="186"/>
    </row>
    <row r="95" spans="3:12" s="7" customFormat="1" ht="18.75" x14ac:dyDescent="0.3">
      <c r="C95" s="8"/>
      <c r="D95" s="115"/>
      <c r="E95" s="115"/>
      <c r="F95" s="9"/>
      <c r="G95" s="116"/>
      <c r="H95" s="9"/>
      <c r="I95" s="9"/>
      <c r="J95" s="9"/>
      <c r="L95" s="186"/>
    </row>
    <row r="96" spans="3:12" s="7" customFormat="1" ht="18.75" x14ac:dyDescent="0.3">
      <c r="C96" s="8"/>
      <c r="D96" s="115"/>
      <c r="E96" s="115"/>
      <c r="F96" s="9"/>
      <c r="G96" s="116"/>
      <c r="H96" s="9"/>
      <c r="I96" s="9"/>
      <c r="J96" s="9"/>
      <c r="L96" s="186"/>
    </row>
    <row r="97" spans="3:12" s="7" customFormat="1" ht="18.75" x14ac:dyDescent="0.3">
      <c r="C97" s="8"/>
      <c r="D97" s="115"/>
      <c r="E97" s="115"/>
      <c r="F97" s="9"/>
      <c r="G97" s="116"/>
      <c r="H97" s="9"/>
      <c r="I97" s="9"/>
      <c r="J97" s="9"/>
      <c r="L97" s="186"/>
    </row>
    <row r="98" spans="3:12" s="7" customFormat="1" ht="18.75" x14ac:dyDescent="0.3">
      <c r="C98" s="8"/>
      <c r="D98" s="115"/>
      <c r="E98" s="115"/>
      <c r="F98" s="9"/>
      <c r="G98" s="116"/>
      <c r="H98" s="9"/>
      <c r="I98" s="9"/>
      <c r="J98" s="9"/>
      <c r="L98" s="186"/>
    </row>
    <row r="99" spans="3:12" s="7" customFormat="1" ht="18.75" x14ac:dyDescent="0.3">
      <c r="C99" s="8"/>
      <c r="D99" s="115"/>
      <c r="E99" s="115"/>
      <c r="F99" s="9"/>
      <c r="G99" s="116"/>
      <c r="H99" s="9"/>
      <c r="I99" s="9"/>
      <c r="J99" s="9"/>
      <c r="L99" s="186"/>
    </row>
    <row r="100" spans="3:12" s="7" customFormat="1" ht="18.75" x14ac:dyDescent="0.3">
      <c r="C100" s="8"/>
      <c r="D100" s="115"/>
      <c r="E100" s="115"/>
      <c r="F100" s="9"/>
      <c r="G100" s="116"/>
      <c r="H100" s="9"/>
      <c r="I100" s="9"/>
      <c r="J100" s="9"/>
      <c r="L100" s="186"/>
    </row>
    <row r="101" spans="3:12" s="7" customFormat="1" ht="18.75" x14ac:dyDescent="0.3">
      <c r="C101" s="8"/>
      <c r="D101" s="115"/>
      <c r="E101" s="115"/>
      <c r="F101" s="9"/>
      <c r="G101" s="116"/>
      <c r="H101" s="9"/>
      <c r="I101" s="9"/>
      <c r="J101" s="9"/>
      <c r="L101" s="186"/>
    </row>
    <row r="102" spans="3:12" s="7" customFormat="1" ht="18.75" x14ac:dyDescent="0.3">
      <c r="C102" s="8"/>
      <c r="D102" s="115"/>
      <c r="E102" s="115"/>
      <c r="F102" s="9"/>
      <c r="G102" s="116"/>
      <c r="H102" s="9"/>
      <c r="I102" s="9"/>
      <c r="J102" s="9"/>
      <c r="L102" s="186"/>
    </row>
    <row r="103" spans="3:12" s="7" customFormat="1" ht="18.75" x14ac:dyDescent="0.3">
      <c r="C103" s="8"/>
      <c r="D103" s="115"/>
      <c r="E103" s="115"/>
      <c r="F103" s="9"/>
      <c r="G103" s="116"/>
      <c r="H103" s="9"/>
      <c r="I103" s="9"/>
      <c r="J103" s="9"/>
      <c r="L103" s="186"/>
    </row>
    <row r="104" spans="3:12" s="7" customFormat="1" ht="18.75" x14ac:dyDescent="0.3">
      <c r="C104" s="8"/>
      <c r="D104" s="115"/>
      <c r="E104" s="115"/>
      <c r="F104" s="9"/>
      <c r="G104" s="116"/>
      <c r="H104" s="9"/>
      <c r="I104" s="9"/>
      <c r="J104" s="9"/>
      <c r="L104" s="186"/>
    </row>
    <row r="105" spans="3:12" s="7" customFormat="1" ht="18.75" x14ac:dyDescent="0.3">
      <c r="C105" s="8"/>
      <c r="D105" s="115"/>
      <c r="E105" s="115"/>
      <c r="F105" s="9"/>
      <c r="G105" s="116"/>
      <c r="H105" s="9"/>
      <c r="I105" s="9"/>
      <c r="J105" s="9"/>
      <c r="L105" s="186"/>
    </row>
    <row r="106" spans="3:12" s="7" customFormat="1" ht="18.75" x14ac:dyDescent="0.3">
      <c r="C106" s="8"/>
      <c r="D106" s="115"/>
      <c r="E106" s="115"/>
      <c r="F106" s="9"/>
      <c r="G106" s="116"/>
      <c r="H106" s="9"/>
      <c r="I106" s="9"/>
      <c r="J106" s="9"/>
      <c r="L106" s="186"/>
    </row>
    <row r="107" spans="3:12" s="7" customFormat="1" ht="18.75" x14ac:dyDescent="0.3">
      <c r="C107" s="8"/>
      <c r="D107" s="115"/>
      <c r="E107" s="115"/>
      <c r="F107" s="9"/>
      <c r="G107" s="116"/>
      <c r="H107" s="9"/>
      <c r="I107" s="9"/>
      <c r="J107" s="9"/>
      <c r="L107" s="186"/>
    </row>
    <row r="108" spans="3:12" s="7" customFormat="1" ht="18.75" x14ac:dyDescent="0.3">
      <c r="C108" s="8"/>
      <c r="D108" s="115"/>
      <c r="E108" s="115"/>
      <c r="F108" s="9"/>
      <c r="G108" s="116"/>
      <c r="H108" s="9"/>
      <c r="I108" s="9"/>
      <c r="J108" s="9"/>
      <c r="L108" s="186"/>
    </row>
    <row r="109" spans="3:12" s="7" customFormat="1" ht="18.75" x14ac:dyDescent="0.3">
      <c r="C109" s="8"/>
      <c r="D109" s="115"/>
      <c r="E109" s="115"/>
      <c r="F109" s="9"/>
      <c r="G109" s="116"/>
      <c r="H109" s="9"/>
      <c r="I109" s="9"/>
      <c r="J109" s="9"/>
      <c r="L109" s="186"/>
    </row>
    <row r="110" spans="3:12" s="7" customFormat="1" ht="18.75" x14ac:dyDescent="0.3">
      <c r="C110" s="8"/>
      <c r="D110" s="115"/>
      <c r="E110" s="115"/>
      <c r="F110" s="9"/>
      <c r="G110" s="116"/>
      <c r="H110" s="9"/>
      <c r="I110" s="9"/>
      <c r="J110" s="9"/>
      <c r="L110" s="186"/>
    </row>
    <row r="111" spans="3:12" s="7" customFormat="1" ht="18.75" x14ac:dyDescent="0.3">
      <c r="C111" s="8"/>
      <c r="D111" s="115"/>
      <c r="E111" s="115"/>
      <c r="F111" s="9"/>
      <c r="G111" s="116"/>
      <c r="H111" s="9"/>
      <c r="I111" s="9"/>
      <c r="J111" s="9"/>
      <c r="L111" s="186"/>
    </row>
    <row r="112" spans="3:12" s="7" customFormat="1" ht="18.75" x14ac:dyDescent="0.3">
      <c r="C112" s="8"/>
      <c r="D112" s="115"/>
      <c r="E112" s="115"/>
      <c r="F112" s="9"/>
      <c r="G112" s="116"/>
      <c r="H112" s="9"/>
      <c r="I112" s="9"/>
      <c r="J112" s="9"/>
      <c r="L112" s="186"/>
    </row>
    <row r="113" spans="3:12" s="7" customFormat="1" ht="18.75" x14ac:dyDescent="0.3">
      <c r="C113" s="8"/>
      <c r="D113" s="115"/>
      <c r="E113" s="115"/>
      <c r="F113" s="9"/>
      <c r="G113" s="116"/>
      <c r="H113" s="9"/>
      <c r="I113" s="9"/>
      <c r="J113" s="9"/>
      <c r="L113" s="186"/>
    </row>
    <row r="114" spans="3:12" s="7" customFormat="1" ht="18.75" x14ac:dyDescent="0.3">
      <c r="C114" s="8"/>
      <c r="D114" s="115"/>
      <c r="E114" s="115"/>
      <c r="F114" s="9"/>
      <c r="G114" s="116"/>
      <c r="H114" s="9"/>
      <c r="I114" s="9"/>
      <c r="J114" s="9"/>
      <c r="L114" s="186"/>
    </row>
    <row r="115" spans="3:12" s="7" customFormat="1" ht="18.75" x14ac:dyDescent="0.3">
      <c r="C115" s="8"/>
      <c r="D115" s="115"/>
      <c r="E115" s="115"/>
      <c r="F115" s="9"/>
      <c r="G115" s="116"/>
      <c r="H115" s="9"/>
      <c r="I115" s="9"/>
      <c r="J115" s="9"/>
      <c r="L115" s="186"/>
    </row>
    <row r="116" spans="3:12" ht="18.75" x14ac:dyDescent="0.3">
      <c r="D116" s="117"/>
      <c r="E116" s="117"/>
      <c r="G116" s="118"/>
      <c r="L116" s="187"/>
    </row>
    <row r="117" spans="3:12" ht="18.75" x14ac:dyDescent="0.3">
      <c r="D117" s="117"/>
      <c r="E117" s="117"/>
      <c r="G117" s="118"/>
      <c r="L117" s="187"/>
    </row>
    <row r="118" spans="3:12" ht="18.75" x14ac:dyDescent="0.3">
      <c r="D118" s="117"/>
      <c r="E118" s="117"/>
      <c r="G118" s="118"/>
      <c r="L118" s="187"/>
    </row>
    <row r="119" spans="3:12" ht="18.75" x14ac:dyDescent="0.3">
      <c r="D119" s="117"/>
      <c r="E119" s="117"/>
      <c r="G119" s="118"/>
      <c r="L119" s="187"/>
    </row>
    <row r="120" spans="3:12" ht="18.75" x14ac:dyDescent="0.3">
      <c r="D120" s="117"/>
      <c r="E120" s="117"/>
      <c r="G120" s="118"/>
      <c r="L120" s="187"/>
    </row>
    <row r="121" spans="3:12" x14ac:dyDescent="0.25">
      <c r="D121" s="117"/>
      <c r="E121" s="117"/>
      <c r="G121" s="118"/>
    </row>
    <row r="122" spans="3:12" x14ac:dyDescent="0.25">
      <c r="D122" s="117"/>
      <c r="E122" s="117"/>
      <c r="G122" s="118"/>
    </row>
    <row r="123" spans="3:12" x14ac:dyDescent="0.25">
      <c r="D123" s="117"/>
      <c r="E123" s="117"/>
      <c r="G123" s="118"/>
    </row>
    <row r="124" spans="3:12" x14ac:dyDescent="0.25">
      <c r="D124" s="117"/>
      <c r="E124" s="117"/>
      <c r="G124" s="118"/>
    </row>
    <row r="125" spans="3:12" x14ac:dyDescent="0.25">
      <c r="D125" s="117"/>
      <c r="E125" s="117"/>
      <c r="G125" s="118"/>
    </row>
    <row r="126" spans="3:12" x14ac:dyDescent="0.25">
      <c r="D126" s="117"/>
      <c r="E126" s="117"/>
      <c r="G126" s="118"/>
    </row>
    <row r="127" spans="3:12" x14ac:dyDescent="0.25">
      <c r="D127" s="117"/>
      <c r="E127" s="117"/>
      <c r="G127" s="118"/>
    </row>
    <row r="128" spans="3:12" x14ac:dyDescent="0.25">
      <c r="D128" s="117"/>
      <c r="E128" s="117"/>
      <c r="G128" s="118"/>
    </row>
  </sheetData>
  <mergeCells count="2">
    <mergeCell ref="A1:L1"/>
    <mergeCell ref="B3:L3"/>
  </mergeCells>
  <pageMargins left="0.51180555555555596" right="0.196527777777778" top="0.35416666666666702" bottom="0.35416666666666702" header="0.511811023622047" footer="0.511811023622047"/>
  <pageSetup paperSize="9" orientation="portrait" horizontalDpi="300" verticalDpi="30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голові</vt:lpstr>
      <vt:lpstr>Лист1</vt:lpstr>
      <vt:lpstr>Лист1!Excel_BuiltIn__FilterDatabase</vt:lpstr>
      <vt:lpstr>голові!Область_печати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User</cp:lastModifiedBy>
  <cp:revision>3</cp:revision>
  <dcterms:created xsi:type="dcterms:W3CDTF">2025-04-29T09:11:05Z</dcterms:created>
  <dcterms:modified xsi:type="dcterms:W3CDTF">2025-07-30T07:02:28Z</dcterms:modified>
  <dc:language>uk-UA</dc:language>
</cp:coreProperties>
</file>